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E:\Dinesh data\07) My Bridge Courses\Digital Products\"/>
    </mc:Choice>
  </mc:AlternateContent>
  <bookViews>
    <workbookView xWindow="120" yWindow="50" windowWidth="15140" windowHeight="7650" activeTab="1"/>
  </bookViews>
  <sheets>
    <sheet name="Breast Wall Cover" sheetId="8" r:id="rId1"/>
    <sheet name="Breast Wall" sheetId="2" r:id="rId2"/>
  </sheets>
  <definedNames>
    <definedName name="_xlnm.Print_Area" localSheetId="1">'Breast Wall'!$A$1:$J$108</definedName>
    <definedName name="_xlnm.Print_Area" localSheetId="0">'Breast Wall Cover'!$A$1:$J$38</definedName>
  </definedNames>
  <calcPr calcId="152511"/>
</workbook>
</file>

<file path=xl/calcChain.xml><?xml version="1.0" encoding="utf-8"?>
<calcChain xmlns="http://schemas.openxmlformats.org/spreadsheetml/2006/main">
  <c r="A1" i="2" l="1"/>
  <c r="E83" i="2"/>
  <c r="H23" i="2"/>
  <c r="H4" i="2" l="1"/>
  <c r="H6" i="2" s="1"/>
  <c r="F103" i="2" l="1"/>
  <c r="F105" i="2" s="1"/>
  <c r="C46" i="2"/>
  <c r="F82" i="2"/>
  <c r="F104" i="2" l="1"/>
  <c r="C75" i="2" l="1"/>
  <c r="F83" i="2"/>
  <c r="E76" i="2" l="1"/>
  <c r="H74" i="2"/>
  <c r="G46" i="2"/>
  <c r="G48" i="2" s="1"/>
  <c r="H21" i="2"/>
  <c r="H15" i="2"/>
  <c r="H14" i="2"/>
  <c r="J19" i="2"/>
  <c r="H33" i="2" s="1"/>
  <c r="H22" i="2"/>
  <c r="J22" i="2" s="1"/>
  <c r="H20" i="2"/>
  <c r="J20" i="2" s="1"/>
  <c r="H8" i="2" l="1"/>
  <c r="H5" i="2"/>
  <c r="H67" i="2"/>
  <c r="C76" i="2" s="1"/>
  <c r="C70" i="2" s="1"/>
  <c r="C47" i="2"/>
  <c r="J21" i="2"/>
  <c r="C48" i="2"/>
  <c r="G47" i="2"/>
  <c r="F85" i="2" l="1"/>
  <c r="H61" i="2"/>
  <c r="J43" i="2"/>
  <c r="F84" i="2"/>
  <c r="B82" i="2"/>
  <c r="E82" i="2"/>
  <c r="J27" i="2"/>
  <c r="G82" i="2" l="1"/>
  <c r="H30" i="2"/>
  <c r="H31" i="2"/>
  <c r="H53" i="2" l="1"/>
  <c r="H54" i="2"/>
  <c r="A57" i="2" s="1"/>
  <c r="E84" i="2" l="1"/>
  <c r="H84" i="2" s="1"/>
  <c r="H56" i="2"/>
  <c r="E85" i="2"/>
  <c r="H85" i="2" s="1"/>
  <c r="B84" i="2"/>
  <c r="A56" i="2"/>
  <c r="H57" i="2"/>
  <c r="E86" i="2" s="1"/>
  <c r="F100" i="2" s="1"/>
  <c r="B85" i="2"/>
  <c r="H86" i="2" l="1"/>
  <c r="E87" i="2"/>
  <c r="D93" i="2" s="1"/>
  <c r="E93" i="2" s="1"/>
  <c r="G83" i="2"/>
  <c r="G86" i="2" s="1"/>
  <c r="H96" i="2" l="1"/>
  <c r="D90" i="2"/>
  <c r="E90" i="2" s="1"/>
  <c r="H98" i="2" l="1"/>
  <c r="F101" i="2" s="1"/>
  <c r="J96" i="2"/>
  <c r="F108" i="2" l="1"/>
  <c r="I108" i="2" s="1"/>
  <c r="F107" i="2"/>
</calcChain>
</file>

<file path=xl/comments1.xml><?xml version="1.0" encoding="utf-8"?>
<comments xmlns="http://schemas.openxmlformats.org/spreadsheetml/2006/main">
  <authors>
    <author>Dinesh Choudhari</author>
  </authors>
  <commentList>
    <comment ref="H23" authorId="0" shapeId="0">
      <text>
        <r>
          <rPr>
            <b/>
            <sz val="10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If surcharge is considered then input 1.2.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</rPr>
          <t>Dinesh Choudhari:</t>
        </r>
        <r>
          <rPr>
            <sz val="10"/>
            <color indexed="81"/>
            <rFont val="Tahoma"/>
            <family val="2"/>
          </rPr>
          <t xml:space="preserve">
Foundation slope is given as per Fig. 3 of IS 14458 (Part 2) : 1997</t>
        </r>
      </text>
    </comment>
    <comment ref="G43" authorId="0" shapeId="0">
      <text>
        <r>
          <rPr>
            <b/>
            <sz val="10"/>
            <color indexed="81"/>
            <rFont val="Tahoma"/>
            <family val="2"/>
          </rPr>
          <t>Dinesh Choudhari:</t>
        </r>
        <r>
          <rPr>
            <sz val="10"/>
            <color indexed="81"/>
            <rFont val="Tahoma"/>
            <family val="2"/>
          </rPr>
          <t xml:space="preserve">
Foundation slope is given as per Fig. 3 of IS 14458 (Part 2) : 1997</t>
        </r>
      </text>
    </comment>
    <comment ref="G73" authorId="0" shapeId="0">
      <text>
        <r>
          <rPr>
            <b/>
            <sz val="9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Not less than 550 mm
</t>
        </r>
      </text>
    </comment>
    <comment ref="C76" authorId="0" shapeId="0">
      <text>
        <r>
          <rPr>
            <b/>
            <sz val="9"/>
            <color indexed="81"/>
            <rFont val="Tahoma"/>
            <family val="2"/>
          </rPr>
          <t>Dinesh Choudhari:</t>
        </r>
        <r>
          <rPr>
            <sz val="9"/>
            <color indexed="81"/>
            <rFont val="Tahoma"/>
            <family val="2"/>
          </rPr>
          <t xml:space="preserve">
Don't delet</t>
        </r>
      </text>
    </comment>
  </commentList>
</comments>
</file>

<file path=xl/sharedStrings.xml><?xml version="1.0" encoding="utf-8"?>
<sst xmlns="http://schemas.openxmlformats.org/spreadsheetml/2006/main" count="176" uniqueCount="102">
  <si>
    <t>Active earth pressure Coefficient for active earth pressure By Coulomb's equation</t>
  </si>
  <si>
    <t>=</t>
  </si>
  <si>
    <t>H1</t>
  </si>
  <si>
    <t>H2</t>
  </si>
  <si>
    <t>Component</t>
  </si>
  <si>
    <t>m</t>
  </si>
  <si>
    <t>Eccentricity of resultant</t>
  </si>
  <si>
    <t>e</t>
  </si>
  <si>
    <t>S V</t>
  </si>
  <si>
    <t>A</t>
  </si>
  <si>
    <t>Section modulus</t>
  </si>
  <si>
    <t>A) Salient Levels</t>
  </si>
  <si>
    <t>Breast wall top level</t>
  </si>
  <si>
    <t>Ground level</t>
  </si>
  <si>
    <t>Retaining wall top level</t>
  </si>
  <si>
    <t>Foundation slab bottom level</t>
  </si>
  <si>
    <t>Depth of foundation</t>
  </si>
  <si>
    <r>
      <t>Coefficient of friction (</t>
    </r>
    <r>
      <rPr>
        <sz val="11"/>
        <color rgb="FF000000"/>
        <rFont val="Symbol"/>
        <family val="1"/>
        <charset val="2"/>
      </rPr>
      <t>m</t>
    </r>
    <r>
      <rPr>
        <sz val="11"/>
        <color rgb="FF000000"/>
        <rFont val="Calibri"/>
        <family val="2"/>
        <charset val="204"/>
      </rPr>
      <t>)</t>
    </r>
  </si>
  <si>
    <t>B) Properties of backfill</t>
  </si>
  <si>
    <t>Slope of backfill</t>
  </si>
  <si>
    <t>Dry density of backfill</t>
  </si>
  <si>
    <t>Saturated density of backfill</t>
  </si>
  <si>
    <t>Submerged density of backfill</t>
  </si>
  <si>
    <t>Angle of internal friction</t>
  </si>
  <si>
    <t xml:space="preserve">Angle of wall friction </t>
  </si>
  <si>
    <t>Angle which earth face of wall makes with the vertical</t>
  </si>
  <si>
    <t>Inclination of backfill with horizontal</t>
  </si>
  <si>
    <t>Surcharge</t>
  </si>
  <si>
    <r>
      <t>Sin</t>
    </r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  <charset val="204"/>
      </rPr>
      <t>(</t>
    </r>
    <r>
      <rPr>
        <sz val="11"/>
        <color rgb="FF000000"/>
        <rFont val="Symbol"/>
        <family val="1"/>
        <charset val="2"/>
      </rPr>
      <t>a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)</t>
    </r>
  </si>
  <si>
    <r>
      <t>Sin</t>
    </r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Symbol"/>
        <family val="1"/>
        <charset val="2"/>
      </rPr>
      <t xml:space="preserve">a </t>
    </r>
    <r>
      <rPr>
        <sz val="11"/>
        <color rgb="FF000000"/>
        <rFont val="Calibri"/>
        <family val="2"/>
        <scheme val="minor"/>
      </rPr>
      <t>x Sin</t>
    </r>
    <r>
      <rPr>
        <sz val="11"/>
        <color rgb="FF000000"/>
        <rFont val="Calibri"/>
        <family val="2"/>
        <charset val="204"/>
      </rPr>
      <t>(</t>
    </r>
    <r>
      <rPr>
        <sz val="11"/>
        <color rgb="FF000000"/>
        <rFont val="Symbol"/>
        <family val="1"/>
        <charset val="2"/>
      </rPr>
      <t>a</t>
    </r>
    <r>
      <rPr>
        <sz val="11"/>
        <color rgb="FF000000"/>
        <rFont val="Calibri"/>
        <family val="2"/>
        <charset val="204"/>
      </rPr>
      <t>-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) x [1+ (((Sin(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) x (Sin(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-</t>
    </r>
    <r>
      <rPr>
        <sz val="11"/>
        <color rgb="FF000000"/>
        <rFont val="Symbol"/>
        <family val="1"/>
        <charset val="2"/>
      </rPr>
      <t>b))/((</t>
    </r>
    <r>
      <rPr>
        <sz val="11"/>
        <color rgb="FF000000"/>
        <rFont val="Calibri"/>
        <family val="2"/>
        <scheme val="minor"/>
      </rPr>
      <t>Sin</t>
    </r>
    <r>
      <rPr>
        <sz val="11"/>
        <color rgb="FF000000"/>
        <rFont val="Symbol"/>
        <family val="1"/>
        <charset val="2"/>
      </rPr>
      <t>(a-d)</t>
    </r>
    <r>
      <rPr>
        <sz val="11"/>
        <color rgb="FF000000"/>
        <rFont val="Calibri"/>
        <family val="2"/>
        <scheme val="minor"/>
      </rPr>
      <t xml:space="preserve"> x (Sin</t>
    </r>
    <r>
      <rPr>
        <sz val="11"/>
        <color rgb="FF000000"/>
        <rFont val="Symbol"/>
        <family val="1"/>
        <charset val="2"/>
      </rPr>
      <t>(a+b)))</t>
    </r>
    <r>
      <rPr>
        <vertAlign val="superscript"/>
        <sz val="11"/>
        <color rgb="FF000000"/>
        <rFont val="Symbol"/>
        <family val="1"/>
        <charset val="2"/>
      </rPr>
      <t>0.5</t>
    </r>
    <r>
      <rPr>
        <sz val="11"/>
        <color rgb="FF000000"/>
        <rFont val="Symbol"/>
        <family val="1"/>
        <charset val="2"/>
      </rPr>
      <t>]</t>
    </r>
    <r>
      <rPr>
        <vertAlign val="superscript"/>
        <sz val="11"/>
        <color rgb="FF000000"/>
        <rFont val="Symbol"/>
        <family val="1"/>
        <charset val="2"/>
      </rPr>
      <t>2</t>
    </r>
  </si>
  <si>
    <t>Ka =</t>
  </si>
  <si>
    <r>
      <t>Ka x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 xml:space="preserve"> + 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>)</t>
    </r>
  </si>
  <si>
    <r>
      <t>Ka x Sin(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 xml:space="preserve"> + 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>)</t>
    </r>
  </si>
  <si>
    <t>C) Materail Density</t>
  </si>
  <si>
    <t>Unit weight of concrete</t>
  </si>
  <si>
    <t>Unit weight of water</t>
  </si>
  <si>
    <t>Width of base</t>
  </si>
  <si>
    <t>Vertical</t>
  </si>
  <si>
    <t>Horizontal</t>
  </si>
  <si>
    <t>Slope of wall with vertical</t>
  </si>
  <si>
    <r>
      <t>kN/m</t>
    </r>
    <r>
      <rPr>
        <vertAlign val="superscript"/>
        <sz val="11"/>
        <color rgb="FF000000"/>
        <rFont val="Calibri"/>
        <family val="2"/>
      </rPr>
      <t>3</t>
    </r>
  </si>
  <si>
    <t>Degree</t>
  </si>
  <si>
    <t>f</t>
  </si>
  <si>
    <t>d</t>
  </si>
  <si>
    <t>a</t>
  </si>
  <si>
    <t>b</t>
  </si>
  <si>
    <t>q</t>
  </si>
  <si>
    <r>
      <t>kN/m</t>
    </r>
    <r>
      <rPr>
        <vertAlign val="superscript"/>
        <sz val="11"/>
        <color rgb="FF000000"/>
        <rFont val="Calibri"/>
        <family val="2"/>
      </rPr>
      <t>2</t>
    </r>
  </si>
  <si>
    <t>Wall Slope :-</t>
  </si>
  <si>
    <t>Cos(angle) =</t>
  </si>
  <si>
    <t xml:space="preserve">Angle (w) = </t>
  </si>
  <si>
    <t>Sin (angle) =</t>
  </si>
  <si>
    <t>Foundation Slope :-</t>
  </si>
  <si>
    <t>GL</t>
  </si>
  <si>
    <t>Force (kN/m)</t>
  </si>
  <si>
    <t>Vertical earth component</t>
  </si>
  <si>
    <r>
      <t>P1 = K</t>
    </r>
    <r>
      <rPr>
        <vertAlign val="subscript"/>
        <sz val="11"/>
        <color rgb="FF000000"/>
        <rFont val="Calibri"/>
        <family val="2"/>
      </rPr>
      <t>a</t>
    </r>
    <r>
      <rPr>
        <sz val="11"/>
        <color rgb="FF000000"/>
        <rFont val="Calibri"/>
        <family val="2"/>
        <charset val="204"/>
      </rPr>
      <t xml:space="preserve">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 xml:space="preserve">) x </t>
    </r>
    <r>
      <rPr>
        <sz val="11"/>
        <color rgb="FF000000"/>
        <rFont val="Symbol"/>
        <family val="1"/>
        <charset val="2"/>
      </rPr>
      <t>g</t>
    </r>
    <r>
      <rPr>
        <vertAlign val="subscript"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charset val="204"/>
      </rPr>
      <t xml:space="preserve"> x q</t>
    </r>
  </si>
  <si>
    <r>
      <t>P1 = K</t>
    </r>
    <r>
      <rPr>
        <vertAlign val="subscript"/>
        <sz val="11"/>
        <color rgb="FF000000"/>
        <rFont val="Calibri"/>
        <family val="2"/>
      </rPr>
      <t>a</t>
    </r>
    <r>
      <rPr>
        <sz val="11"/>
        <color rgb="FF000000"/>
        <rFont val="Calibri"/>
        <family val="2"/>
        <charset val="204"/>
      </rPr>
      <t xml:space="preserve"> Cos(</t>
    </r>
    <r>
      <rPr>
        <sz val="11"/>
        <color rgb="FF000000"/>
        <rFont val="Symbol"/>
        <family val="1"/>
        <charset val="2"/>
      </rPr>
      <t>d</t>
    </r>
    <r>
      <rPr>
        <sz val="11"/>
        <color rgb="FF000000"/>
        <rFont val="Calibri"/>
        <family val="2"/>
        <charset val="204"/>
      </rPr>
      <t>+</t>
    </r>
    <r>
      <rPr>
        <sz val="11"/>
        <color rgb="FF000000"/>
        <rFont val="Symbol"/>
        <family val="1"/>
        <charset val="2"/>
      </rPr>
      <t>b</t>
    </r>
    <r>
      <rPr>
        <sz val="11"/>
        <color rgb="FF000000"/>
        <rFont val="Calibri"/>
        <family val="2"/>
        <charset val="204"/>
      </rPr>
      <t xml:space="preserve">) x </t>
    </r>
    <r>
      <rPr>
        <sz val="11"/>
        <color rgb="FF000000"/>
        <rFont val="Symbol"/>
        <family val="1"/>
        <charset val="2"/>
      </rPr>
      <t>g</t>
    </r>
    <r>
      <rPr>
        <vertAlign val="subscript"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charset val="204"/>
      </rPr>
      <t xml:space="preserve"> x h</t>
    </r>
    <r>
      <rPr>
        <vertAlign val="subscript"/>
        <sz val="11"/>
        <color rgb="FF000000"/>
        <rFont val="Calibri"/>
        <family val="2"/>
      </rPr>
      <t>1</t>
    </r>
  </si>
  <si>
    <t>kN</t>
  </si>
  <si>
    <t>Total vertical forces</t>
  </si>
  <si>
    <t>Total horizontal forces</t>
  </si>
  <si>
    <t>Lever Arm (m)</t>
  </si>
  <si>
    <t>Moment (kN.m)</t>
  </si>
  <si>
    <t>S H</t>
  </si>
  <si>
    <t xml:space="preserve">Check for Stabilty : Overturning (with backfill)
</t>
  </si>
  <si>
    <r>
      <t>Resisting (M</t>
    </r>
    <r>
      <rPr>
        <vertAlign val="subscript"/>
        <sz val="11"/>
        <color rgb="FF000000"/>
        <rFont val="Calibri"/>
        <family val="2"/>
      </rPr>
      <t>R</t>
    </r>
    <r>
      <rPr>
        <sz val="11"/>
        <color rgb="FF000000"/>
        <rFont val="Calibri"/>
        <family val="2"/>
        <charset val="204"/>
      </rPr>
      <t>)</t>
    </r>
  </si>
  <si>
    <r>
      <t>Overturning (M</t>
    </r>
    <r>
      <rPr>
        <vertAlign val="subscript"/>
        <sz val="11"/>
        <color rgb="FF000000"/>
        <rFont val="Calibri"/>
        <family val="2"/>
      </rPr>
      <t>o</t>
    </r>
    <r>
      <rPr>
        <sz val="11"/>
        <color rgb="FF000000"/>
        <rFont val="Calibri"/>
        <family val="2"/>
        <charset val="204"/>
      </rPr>
      <t>)</t>
    </r>
  </si>
  <si>
    <r>
      <t>M</t>
    </r>
    <r>
      <rPr>
        <b/>
        <vertAlign val="subscript"/>
        <sz val="11"/>
        <color rgb="FF000000"/>
        <rFont val="Calibri"/>
        <family val="2"/>
      </rPr>
      <t xml:space="preserve">R / </t>
    </r>
    <r>
      <rPr>
        <b/>
        <sz val="11"/>
        <color rgb="FF000000"/>
        <rFont val="Calibri"/>
        <family val="2"/>
      </rPr>
      <t>M</t>
    </r>
    <r>
      <rPr>
        <b/>
        <vertAlign val="subscript"/>
        <sz val="11"/>
        <color rgb="FF000000"/>
        <rFont val="Calibri"/>
        <family val="2"/>
      </rPr>
      <t>o</t>
    </r>
  </si>
  <si>
    <t xml:space="preserve">Check for Stabilty : Sliding (with backfill) </t>
  </si>
  <si>
    <t>…..Surcharge load</t>
  </si>
  <si>
    <t>…..Earth pressure load</t>
  </si>
  <si>
    <t>Kp =</t>
  </si>
  <si>
    <r>
      <t xml:space="preserve">(1 + Sin 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 xml:space="preserve">)/(1 - Sin </t>
    </r>
    <r>
      <rPr>
        <sz val="11"/>
        <color rgb="FF000000"/>
        <rFont val="Symbol"/>
        <family val="1"/>
        <charset val="2"/>
      </rPr>
      <t>f</t>
    </r>
    <r>
      <rPr>
        <sz val="11"/>
        <color rgb="FF000000"/>
        <rFont val="Calibri"/>
        <family val="2"/>
        <charset val="204"/>
      </rPr>
      <t>)</t>
    </r>
  </si>
  <si>
    <t>Active Earth Pressure</t>
  </si>
  <si>
    <t>Passive Earth Pressure</t>
  </si>
  <si>
    <r>
      <rPr>
        <b/>
        <sz val="11"/>
        <color rgb="FF000000"/>
        <rFont val="Symbol"/>
        <family val="1"/>
        <charset val="2"/>
      </rPr>
      <t>(m</t>
    </r>
    <r>
      <rPr>
        <b/>
        <sz val="11"/>
        <color rgb="FF000000"/>
        <rFont val="Calibri"/>
        <family val="2"/>
      </rPr>
      <t xml:space="preserve"> x S V + P3) / S H</t>
    </r>
  </si>
  <si>
    <t>Location of resultant from toe</t>
  </si>
  <si>
    <r>
      <t>X</t>
    </r>
    <r>
      <rPr>
        <vertAlign val="subscript"/>
        <sz val="11"/>
        <color rgb="FF000000"/>
        <rFont val="Calibri"/>
        <family val="2"/>
      </rPr>
      <t>o</t>
    </r>
  </si>
  <si>
    <r>
      <t>(M</t>
    </r>
    <r>
      <rPr>
        <vertAlign val="subscript"/>
        <sz val="11"/>
        <color rgb="FF000000"/>
        <rFont val="Calibri"/>
        <family val="2"/>
      </rPr>
      <t xml:space="preserve">R </t>
    </r>
    <r>
      <rPr>
        <sz val="11"/>
        <color rgb="FF000000"/>
        <rFont val="Calibri"/>
        <family val="2"/>
        <charset val="204"/>
      </rPr>
      <t>- M</t>
    </r>
    <r>
      <rPr>
        <vertAlign val="subscript"/>
        <sz val="11"/>
        <color rgb="FF000000"/>
        <rFont val="Calibri"/>
        <family val="2"/>
      </rPr>
      <t>o</t>
    </r>
    <r>
      <rPr>
        <sz val="11"/>
        <color rgb="FF000000"/>
        <rFont val="Calibri"/>
        <family val="2"/>
        <charset val="204"/>
      </rPr>
      <t>) / SV   =</t>
    </r>
  </si>
  <si>
    <r>
      <t>B/2 - X</t>
    </r>
    <r>
      <rPr>
        <vertAlign val="subscript"/>
        <sz val="11"/>
        <color rgb="FF000000"/>
        <rFont val="Calibri"/>
        <family val="2"/>
      </rPr>
      <t xml:space="preserve">o   </t>
    </r>
    <r>
      <rPr>
        <sz val="11"/>
        <color rgb="FF000000"/>
        <rFont val="Calibri"/>
        <family val="2"/>
      </rPr>
      <t xml:space="preserve"> =</t>
    </r>
  </si>
  <si>
    <t>m &lt; B/6</t>
  </si>
  <si>
    <t>Vertical load</t>
  </si>
  <si>
    <t>SV</t>
  </si>
  <si>
    <t>Moment at centre of base</t>
  </si>
  <si>
    <r>
      <t>M</t>
    </r>
    <r>
      <rPr>
        <vertAlign val="subscript"/>
        <sz val="11"/>
        <color rgb="FF000000"/>
        <rFont val="Calibri"/>
        <family val="2"/>
      </rPr>
      <t>L</t>
    </r>
  </si>
  <si>
    <t>kN.m</t>
  </si>
  <si>
    <t xml:space="preserve">Length of base </t>
  </si>
  <si>
    <t>B</t>
  </si>
  <si>
    <t>Plan Area</t>
  </si>
  <si>
    <r>
      <t>m</t>
    </r>
    <r>
      <rPr>
        <vertAlign val="superscript"/>
        <sz val="11"/>
        <color rgb="FF000000"/>
        <rFont val="Calibri"/>
        <family val="2"/>
      </rPr>
      <t>2</t>
    </r>
  </si>
  <si>
    <r>
      <t>Z</t>
    </r>
    <r>
      <rPr>
        <vertAlign val="subscript"/>
        <sz val="11"/>
        <color rgb="FF000000"/>
        <rFont val="Calibri"/>
        <family val="2"/>
      </rPr>
      <t>L</t>
    </r>
  </si>
  <si>
    <r>
      <t>m</t>
    </r>
    <r>
      <rPr>
        <vertAlign val="superscript"/>
        <sz val="11"/>
        <color rgb="FF000000"/>
        <rFont val="Calibri"/>
        <family val="2"/>
      </rPr>
      <t>3</t>
    </r>
  </si>
  <si>
    <t>Maximum Base Pressure</t>
  </si>
  <si>
    <t>Minimum Base Pressure</t>
  </si>
  <si>
    <r>
      <t>S</t>
    </r>
    <r>
      <rPr>
        <vertAlign val="subscript"/>
        <sz val="11"/>
        <color rgb="FF000000"/>
        <rFont val="Calibri"/>
        <family val="2"/>
      </rPr>
      <t>max</t>
    </r>
  </si>
  <si>
    <r>
      <t>S</t>
    </r>
    <r>
      <rPr>
        <vertAlign val="subscript"/>
        <sz val="11"/>
        <color rgb="FF000000"/>
        <rFont val="Calibri"/>
        <family val="2"/>
      </rPr>
      <t>min</t>
    </r>
  </si>
  <si>
    <r>
      <t>P3 = K</t>
    </r>
    <r>
      <rPr>
        <vertAlign val="subscript"/>
        <sz val="11"/>
        <color rgb="FF000000"/>
        <rFont val="Calibri"/>
        <family val="2"/>
      </rPr>
      <t>p</t>
    </r>
    <r>
      <rPr>
        <sz val="11"/>
        <color rgb="FF000000"/>
        <rFont val="Calibri"/>
        <family val="2"/>
        <charset val="204"/>
      </rPr>
      <t xml:space="preserve"> x </t>
    </r>
    <r>
      <rPr>
        <sz val="11"/>
        <color rgb="FF000000"/>
        <rFont val="Symbol"/>
        <family val="1"/>
        <charset val="2"/>
      </rPr>
      <t>g</t>
    </r>
    <r>
      <rPr>
        <vertAlign val="subscript"/>
        <sz val="11"/>
        <color rgb="FF000000"/>
        <rFont val="Calibri"/>
        <family val="2"/>
        <scheme val="minor"/>
      </rPr>
      <t>d</t>
    </r>
    <r>
      <rPr>
        <sz val="11"/>
        <color rgb="FF000000"/>
        <rFont val="Calibri"/>
        <family val="2"/>
        <charset val="204"/>
      </rPr>
      <t xml:space="preserve"> x h</t>
    </r>
  </si>
  <si>
    <t xml:space="preserve">Check for Base Pressure
</t>
  </si>
  <si>
    <t>fs</t>
  </si>
  <si>
    <t>DESIGN OF PCC BREAST WALL</t>
  </si>
  <si>
    <t>Important Note :-</t>
  </si>
  <si>
    <t>Only fill input data marked in blue 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</si>
</sst>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5" x14ac:knownFonts="1">
    <font>
      <sz val="11"/>
      <color rgb="FF000000"/>
      <name val="Calibri"/>
      <family val="2"/>
      <charset val="204"/>
    </font>
    <font>
      <sz val="11"/>
      <color rgb="FF000000"/>
      <name val="Symbol"/>
      <family val="1"/>
      <charset val="2"/>
    </font>
    <font>
      <vertAlign val="superscript"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Symbol"/>
      <family val="1"/>
      <charset val="2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vertAlign val="subscript"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rgb="FF000000"/>
      <name val="Symbol"/>
      <family val="1"/>
      <charset val="2"/>
    </font>
    <font>
      <b/>
      <i/>
      <sz val="9"/>
      <color rgb="FF000000"/>
      <name val="Calibri"/>
      <family val="2"/>
    </font>
    <font>
      <sz val="9"/>
      <color rgb="FF000000"/>
      <name val="Calibri"/>
      <family val="2"/>
    </font>
    <font>
      <sz val="11"/>
      <color rgb="FF000000"/>
      <name val="Calibri"/>
      <family val="2"/>
    </font>
    <font>
      <b/>
      <sz val="36"/>
      <color rgb="FF000000"/>
      <name val="Calibri"/>
      <family val="2"/>
    </font>
    <font>
      <sz val="11"/>
      <color theme="0"/>
      <name val="Calibri"/>
      <family val="2"/>
      <charset val="204"/>
    </font>
    <font>
      <b/>
      <sz val="18"/>
      <color rgb="FF000000"/>
      <name val="Calibri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20"/>
      <name val="Calibri"/>
      <family val="2"/>
    </font>
    <font>
      <b/>
      <sz val="18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/>
    <xf numFmtId="2" fontId="0" fillId="0" borderId="0" xfId="0" applyNumberFormat="1" applyAlignment="1">
      <alignment horizontal="center"/>
    </xf>
    <xf numFmtId="0" fontId="15" fillId="0" borderId="0" xfId="0" applyFont="1"/>
    <xf numFmtId="0" fontId="16" fillId="0" borderId="0" xfId="0" applyFont="1"/>
    <xf numFmtId="2" fontId="0" fillId="0" borderId="0" xfId="0" applyNumberFormat="1" applyAlignment="1">
      <alignment horizontal="left"/>
    </xf>
    <xf numFmtId="0" fontId="17" fillId="0" borderId="0" xfId="0" applyFont="1" applyAlignment="1"/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9" fillId="0" borderId="0" xfId="0" applyNumberFormat="1" applyFont="1"/>
    <xf numFmtId="164" fontId="19" fillId="3" borderId="0" xfId="0" applyNumberFormat="1" applyFont="1" applyFill="1" applyAlignment="1">
      <alignment horizontal="center"/>
    </xf>
    <xf numFmtId="164" fontId="0" fillId="0" borderId="0" xfId="0" applyNumberFormat="1" applyProtection="1">
      <protection hidden="1"/>
    </xf>
    <xf numFmtId="0" fontId="0" fillId="0" borderId="0" xfId="0" applyProtection="1">
      <protection hidden="1"/>
    </xf>
    <xf numFmtId="2" fontId="0" fillId="0" borderId="0" xfId="0" applyNumberFormat="1" applyProtection="1">
      <protection hidden="1"/>
    </xf>
    <xf numFmtId="0" fontId="7" fillId="4" borderId="0" xfId="0" applyFont="1" applyFill="1" applyProtection="1">
      <protection hidden="1"/>
    </xf>
    <xf numFmtId="2" fontId="0" fillId="0" borderId="0" xfId="0" applyNumberFormat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left"/>
      <protection hidden="1"/>
    </xf>
    <xf numFmtId="2" fontId="0" fillId="0" borderId="3" xfId="0" applyNumberFormat="1" applyBorder="1" applyAlignment="1" applyProtection="1">
      <alignment horizontal="center" vertical="center"/>
      <protection hidden="1"/>
    </xf>
    <xf numFmtId="2" fontId="0" fillId="0" borderId="3" xfId="0" applyNumberFormat="1" applyBorder="1" applyAlignment="1" applyProtection="1">
      <alignment horizontal="center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6" fillId="0" borderId="0" xfId="0" applyFont="1" applyAlignment="1" applyProtection="1">
      <alignment horizontal="left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165" fontId="6" fillId="0" borderId="0" xfId="0" applyNumberFormat="1" applyFont="1" applyProtection="1">
      <protection hidden="1"/>
    </xf>
    <xf numFmtId="0" fontId="5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7" fillId="2" borderId="0" xfId="0" applyFont="1" applyFill="1" applyProtection="1">
      <protection locked="0"/>
    </xf>
    <xf numFmtId="2" fontId="5" fillId="2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0" fontId="18" fillId="0" borderId="0" xfId="0" applyFont="1" applyAlignment="1">
      <alignment horizontal="center" wrapText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2" fontId="0" fillId="0" borderId="4" xfId="0" applyNumberFormat="1" applyBorder="1" applyAlignment="1" applyProtection="1">
      <alignment horizontal="center"/>
      <protection hidden="1"/>
    </xf>
    <xf numFmtId="2" fontId="0" fillId="0" borderId="5" xfId="0" applyNumberFormat="1" applyBorder="1" applyAlignment="1" applyProtection="1">
      <alignment horizontal="center"/>
      <protection hidden="1"/>
    </xf>
    <xf numFmtId="2" fontId="0" fillId="0" borderId="6" xfId="0" applyNumberFormat="1" applyBorder="1" applyAlignment="1" applyProtection="1">
      <alignment horizontal="center"/>
      <protection hidden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0" fillId="0" borderId="0" xfId="0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left" wrapText="1"/>
      <protection locked="0"/>
    </xf>
    <xf numFmtId="0" fontId="24" fillId="0" borderId="0" xfId="0" applyFont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67234</xdr:colOff>
      <xdr:row>39</xdr:row>
      <xdr:rowOff>44823</xdr:rowOff>
    </xdr:from>
    <xdr:ext cx="896471" cy="1426883"/>
    <xdr:grpSp>
      <xdr:nvGrpSpPr>
        <xdr:cNvPr id="10" name="Group 9"/>
        <xdr:cNvGrpSpPr/>
      </xdr:nvGrpSpPr>
      <xdr:grpSpPr>
        <a:xfrm>
          <a:off x="4967940" y="7283823"/>
          <a:ext cx="896471" cy="1426883"/>
          <a:chOff x="0" y="29304897"/>
          <a:chExt cx="503554" cy="989583"/>
        </a:xfrm>
      </xdr:grpSpPr>
      <xdr:sp macro="" textlink="">
        <xdr:nvSpPr>
          <xdr:cNvPr id="11" name="Shape 52"/>
          <xdr:cNvSpPr/>
        </xdr:nvSpPr>
        <xdr:spPr>
          <a:xfrm>
            <a:off x="1777" y="29306675"/>
            <a:ext cx="125602" cy="986027"/>
          </a:xfrm>
          <a:custGeom>
            <a:avLst/>
            <a:gdLst/>
            <a:ahLst/>
            <a:cxnLst/>
            <a:rect l="0" t="0" r="0" b="0"/>
            <a:pathLst>
              <a:path w="125602" h="986027">
                <a:moveTo>
                  <a:pt x="0" y="0"/>
                </a:moveTo>
                <a:lnTo>
                  <a:pt x="125602" y="986027"/>
                </a:lnTo>
              </a:path>
            </a:pathLst>
          </a:custGeom>
          <a:ln w="3555">
            <a:solidFill>
              <a:srgbClr val="000000"/>
            </a:solidFill>
            <a:prstDash val="solid"/>
          </a:ln>
        </xdr:spPr>
      </xdr:sp>
      <xdr:sp macro="" textlink="">
        <xdr:nvSpPr>
          <xdr:cNvPr id="12" name="Shape 53"/>
          <xdr:cNvSpPr/>
        </xdr:nvSpPr>
        <xdr:spPr>
          <a:xfrm>
            <a:off x="10286" y="29310993"/>
            <a:ext cx="183388" cy="0"/>
          </a:xfrm>
          <a:custGeom>
            <a:avLst/>
            <a:gdLst/>
            <a:ahLst/>
            <a:cxnLst/>
            <a:rect l="0" t="0" r="0" b="0"/>
            <a:pathLst>
              <a:path w="183388">
                <a:moveTo>
                  <a:pt x="183388" y="0"/>
                </a:moveTo>
                <a:lnTo>
                  <a:pt x="0" y="0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13" name="Shape 54"/>
          <xdr:cNvSpPr/>
        </xdr:nvSpPr>
        <xdr:spPr>
          <a:xfrm>
            <a:off x="193675" y="29315311"/>
            <a:ext cx="301878" cy="907288"/>
          </a:xfrm>
          <a:custGeom>
            <a:avLst/>
            <a:gdLst/>
            <a:ahLst/>
            <a:cxnLst/>
            <a:rect l="0" t="0" r="0" b="0"/>
            <a:pathLst>
              <a:path w="301878" h="907288">
                <a:moveTo>
                  <a:pt x="0" y="0"/>
                </a:moveTo>
                <a:lnTo>
                  <a:pt x="301878" y="907288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14" name="Shape 55"/>
          <xdr:cNvSpPr/>
        </xdr:nvSpPr>
        <xdr:spPr>
          <a:xfrm>
            <a:off x="127380" y="30222599"/>
            <a:ext cx="374396" cy="70103"/>
          </a:xfrm>
          <a:custGeom>
            <a:avLst/>
            <a:gdLst/>
            <a:ahLst/>
            <a:cxnLst/>
            <a:rect l="0" t="0" r="0" b="0"/>
            <a:pathLst>
              <a:path w="374396" h="70103">
                <a:moveTo>
                  <a:pt x="0" y="70103"/>
                </a:moveTo>
                <a:lnTo>
                  <a:pt x="374396" y="0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</xdr:grpSp>
    <xdr:clientData/>
  </xdr:oneCellAnchor>
  <xdr:oneCellAnchor>
    <xdr:from>
      <xdr:col>9</xdr:col>
      <xdr:colOff>410882</xdr:colOff>
      <xdr:row>39</xdr:row>
      <xdr:rowOff>35484</xdr:rowOff>
    </xdr:from>
    <xdr:ext cx="89760" cy="1326351"/>
    <xdr:sp macro="" textlink="">
      <xdr:nvSpPr>
        <xdr:cNvPr id="15" name="Shape 56"/>
        <xdr:cNvSpPr/>
      </xdr:nvSpPr>
      <xdr:spPr>
        <a:xfrm>
          <a:off x="5924176" y="7543425"/>
          <a:ext cx="89760" cy="1326351"/>
        </a:xfrm>
        <a:custGeom>
          <a:avLst/>
          <a:gdLst/>
          <a:ahLst/>
          <a:cxnLst/>
          <a:rect l="0" t="0" r="0" b="0"/>
          <a:pathLst>
            <a:path w="50419" h="919861">
              <a:moveTo>
                <a:pt x="23180" y="42592"/>
              </a:moveTo>
              <a:lnTo>
                <a:pt x="42672" y="42417"/>
              </a:lnTo>
              <a:lnTo>
                <a:pt x="23114" y="35432"/>
              </a:lnTo>
              <a:lnTo>
                <a:pt x="19558" y="35559"/>
              </a:lnTo>
              <a:lnTo>
                <a:pt x="20955" y="0"/>
              </a:lnTo>
              <a:lnTo>
                <a:pt x="0" y="42799"/>
              </a:lnTo>
              <a:lnTo>
                <a:pt x="19623" y="42623"/>
              </a:lnTo>
              <a:lnTo>
                <a:pt x="27365" y="877140"/>
              </a:lnTo>
              <a:lnTo>
                <a:pt x="27432" y="884301"/>
              </a:lnTo>
              <a:lnTo>
                <a:pt x="29464" y="919861"/>
              </a:lnTo>
              <a:lnTo>
                <a:pt x="50419" y="876934"/>
              </a:lnTo>
              <a:lnTo>
                <a:pt x="30987" y="884301"/>
              </a:lnTo>
              <a:lnTo>
                <a:pt x="30921" y="877109"/>
              </a:lnTo>
              <a:lnTo>
                <a:pt x="23180" y="42592"/>
              </a:lnTo>
              <a:close/>
            </a:path>
            <a:path w="50419" h="919861">
              <a:moveTo>
                <a:pt x="27432" y="884301"/>
              </a:moveTo>
              <a:lnTo>
                <a:pt x="27365" y="877140"/>
              </a:lnTo>
              <a:lnTo>
                <a:pt x="7747" y="877315"/>
              </a:lnTo>
              <a:lnTo>
                <a:pt x="29464" y="919861"/>
              </a:lnTo>
              <a:lnTo>
                <a:pt x="27432" y="884301"/>
              </a:lnTo>
              <a:close/>
            </a:path>
            <a:path w="50419" h="919861">
              <a:moveTo>
                <a:pt x="50419" y="876934"/>
              </a:moveTo>
              <a:lnTo>
                <a:pt x="30921" y="877109"/>
              </a:lnTo>
              <a:lnTo>
                <a:pt x="30987" y="884301"/>
              </a:lnTo>
              <a:lnTo>
                <a:pt x="50419" y="876934"/>
              </a:lnTo>
              <a:close/>
            </a:path>
            <a:path w="50419" h="919861">
              <a:moveTo>
                <a:pt x="20955" y="0"/>
              </a:moveTo>
              <a:lnTo>
                <a:pt x="19558" y="35559"/>
              </a:lnTo>
              <a:lnTo>
                <a:pt x="23114" y="35432"/>
              </a:lnTo>
              <a:lnTo>
                <a:pt x="42672" y="42417"/>
              </a:lnTo>
              <a:lnTo>
                <a:pt x="20955" y="0"/>
              </a:lnTo>
              <a:close/>
            </a:path>
          </a:pathLst>
        </a:custGeom>
        <a:solidFill>
          <a:srgbClr val="5B9BD4"/>
        </a:solidFill>
      </xdr:spPr>
    </xdr:sp>
    <xdr:clientData/>
  </xdr:oneCellAnchor>
  <xdr:oneCellAnchor>
    <xdr:from>
      <xdr:col>2</xdr:col>
      <xdr:colOff>271008</xdr:colOff>
      <xdr:row>63</xdr:row>
      <xdr:rowOff>77201</xdr:rowOff>
    </xdr:from>
    <xdr:ext cx="2857102" cy="2366407"/>
    <xdr:grpSp>
      <xdr:nvGrpSpPr>
        <xdr:cNvPr id="16" name="Group 15"/>
        <xdr:cNvGrpSpPr/>
      </xdr:nvGrpSpPr>
      <xdr:grpSpPr>
        <a:xfrm>
          <a:off x="1496184" y="11895672"/>
          <a:ext cx="2857102" cy="2366407"/>
          <a:chOff x="129286" y="34936299"/>
          <a:chExt cx="2458211" cy="1690459"/>
        </a:xfrm>
      </xdr:grpSpPr>
      <xdr:sp macro="" textlink="">
        <xdr:nvSpPr>
          <xdr:cNvPr id="18" name="Shape 64"/>
          <xdr:cNvSpPr/>
        </xdr:nvSpPr>
        <xdr:spPr>
          <a:xfrm>
            <a:off x="135509" y="34939855"/>
            <a:ext cx="362711" cy="1617852"/>
          </a:xfrm>
          <a:custGeom>
            <a:avLst/>
            <a:gdLst/>
            <a:ahLst/>
            <a:cxnLst/>
            <a:rect l="0" t="0" r="0" b="0"/>
            <a:pathLst>
              <a:path w="362711" h="1617852">
                <a:moveTo>
                  <a:pt x="0" y="0"/>
                </a:moveTo>
                <a:lnTo>
                  <a:pt x="362711" y="1617852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19" name="Shape 65"/>
          <xdr:cNvSpPr/>
        </xdr:nvSpPr>
        <xdr:spPr>
          <a:xfrm>
            <a:off x="129286" y="34936299"/>
            <a:ext cx="664463" cy="9778"/>
          </a:xfrm>
          <a:custGeom>
            <a:avLst/>
            <a:gdLst/>
            <a:ahLst/>
            <a:cxnLst/>
            <a:rect l="0" t="0" r="0" b="0"/>
            <a:pathLst>
              <a:path w="664463" h="9778">
                <a:moveTo>
                  <a:pt x="0" y="9778"/>
                </a:moveTo>
                <a:lnTo>
                  <a:pt x="664463" y="0"/>
                </a:lnTo>
              </a:path>
            </a:pathLst>
          </a:custGeom>
          <a:ln w="3555">
            <a:solidFill>
              <a:srgbClr val="000000"/>
            </a:solidFill>
            <a:prstDash val="solid"/>
          </a:ln>
        </xdr:spPr>
      </xdr:sp>
      <xdr:sp macro="" textlink="">
        <xdr:nvSpPr>
          <xdr:cNvPr id="20" name="Shape 66"/>
          <xdr:cNvSpPr/>
        </xdr:nvSpPr>
        <xdr:spPr>
          <a:xfrm>
            <a:off x="799973" y="34936299"/>
            <a:ext cx="1178306" cy="1352422"/>
          </a:xfrm>
          <a:custGeom>
            <a:avLst/>
            <a:gdLst/>
            <a:ahLst/>
            <a:cxnLst/>
            <a:rect l="0" t="0" r="0" b="0"/>
            <a:pathLst>
              <a:path w="1178306" h="1352422">
                <a:moveTo>
                  <a:pt x="0" y="0"/>
                </a:moveTo>
                <a:lnTo>
                  <a:pt x="1178306" y="1352422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22" name="Shape 68"/>
          <xdr:cNvSpPr/>
        </xdr:nvSpPr>
        <xdr:spPr>
          <a:xfrm>
            <a:off x="495807" y="36288722"/>
            <a:ext cx="1482471" cy="264287"/>
          </a:xfrm>
          <a:custGeom>
            <a:avLst/>
            <a:gdLst/>
            <a:ahLst/>
            <a:cxnLst/>
            <a:rect l="0" t="0" r="0" b="0"/>
            <a:pathLst>
              <a:path w="1482471" h="264287">
                <a:moveTo>
                  <a:pt x="0" y="264287"/>
                </a:moveTo>
                <a:lnTo>
                  <a:pt x="1482471" y="0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26" name="Shape 72"/>
          <xdr:cNvSpPr/>
        </xdr:nvSpPr>
        <xdr:spPr>
          <a:xfrm>
            <a:off x="1673859" y="35868987"/>
            <a:ext cx="899413" cy="3556"/>
          </a:xfrm>
          <a:custGeom>
            <a:avLst/>
            <a:gdLst/>
            <a:ahLst/>
            <a:cxnLst/>
            <a:rect l="0" t="0" r="0" b="0"/>
            <a:pathLst>
              <a:path w="899413" h="3556">
                <a:moveTo>
                  <a:pt x="0" y="0"/>
                </a:moveTo>
                <a:lnTo>
                  <a:pt x="899413" y="3556"/>
                </a:lnTo>
              </a:path>
            </a:pathLst>
          </a:custGeom>
          <a:ln w="3555">
            <a:solidFill>
              <a:srgbClr val="5B9BD4"/>
            </a:solidFill>
            <a:prstDash val="solid"/>
          </a:ln>
        </xdr:spPr>
      </xdr:sp>
      <xdr:sp macro="" textlink="">
        <xdr:nvSpPr>
          <xdr:cNvPr id="27" name="Shape 73"/>
          <xdr:cNvSpPr/>
        </xdr:nvSpPr>
        <xdr:spPr>
          <a:xfrm>
            <a:off x="2543047" y="34948364"/>
            <a:ext cx="44450" cy="920623"/>
          </a:xfrm>
          <a:custGeom>
            <a:avLst/>
            <a:gdLst/>
            <a:ahLst/>
            <a:cxnLst/>
            <a:rect l="0" t="0" r="0" b="0"/>
            <a:pathLst>
              <a:path w="44450" h="920623">
                <a:moveTo>
                  <a:pt x="23129" y="42730"/>
                </a:moveTo>
                <a:lnTo>
                  <a:pt x="42672" y="42672"/>
                </a:lnTo>
                <a:lnTo>
                  <a:pt x="23114" y="35560"/>
                </a:lnTo>
                <a:lnTo>
                  <a:pt x="19558" y="35560"/>
                </a:lnTo>
                <a:lnTo>
                  <a:pt x="21336" y="0"/>
                </a:lnTo>
                <a:lnTo>
                  <a:pt x="0" y="42799"/>
                </a:lnTo>
                <a:lnTo>
                  <a:pt x="19573" y="42740"/>
                </a:lnTo>
                <a:lnTo>
                  <a:pt x="21321" y="877950"/>
                </a:lnTo>
                <a:lnTo>
                  <a:pt x="21336" y="885063"/>
                </a:lnTo>
                <a:lnTo>
                  <a:pt x="23241" y="920623"/>
                </a:lnTo>
                <a:lnTo>
                  <a:pt x="44450" y="877951"/>
                </a:lnTo>
                <a:lnTo>
                  <a:pt x="24892" y="885063"/>
                </a:lnTo>
                <a:lnTo>
                  <a:pt x="24877" y="877951"/>
                </a:lnTo>
                <a:lnTo>
                  <a:pt x="23129" y="42730"/>
                </a:lnTo>
                <a:close/>
              </a:path>
              <a:path w="44450" h="920623">
                <a:moveTo>
                  <a:pt x="21336" y="885063"/>
                </a:moveTo>
                <a:lnTo>
                  <a:pt x="21321" y="877950"/>
                </a:lnTo>
                <a:lnTo>
                  <a:pt x="1778" y="877951"/>
                </a:lnTo>
                <a:lnTo>
                  <a:pt x="23241" y="920623"/>
                </a:lnTo>
                <a:lnTo>
                  <a:pt x="21336" y="885063"/>
                </a:lnTo>
                <a:close/>
              </a:path>
              <a:path w="44450" h="920623">
                <a:moveTo>
                  <a:pt x="44450" y="877951"/>
                </a:moveTo>
                <a:lnTo>
                  <a:pt x="24877" y="877951"/>
                </a:lnTo>
                <a:lnTo>
                  <a:pt x="24892" y="885063"/>
                </a:lnTo>
                <a:lnTo>
                  <a:pt x="44450" y="877951"/>
                </a:lnTo>
                <a:close/>
              </a:path>
              <a:path w="44450" h="920623">
                <a:moveTo>
                  <a:pt x="21336" y="0"/>
                </a:moveTo>
                <a:lnTo>
                  <a:pt x="19558" y="35560"/>
                </a:lnTo>
                <a:lnTo>
                  <a:pt x="23114" y="35560"/>
                </a:lnTo>
                <a:lnTo>
                  <a:pt x="42672" y="42672"/>
                </a:lnTo>
                <a:lnTo>
                  <a:pt x="21336" y="0"/>
                </a:lnTo>
                <a:close/>
              </a:path>
            </a:pathLst>
          </a:custGeom>
          <a:solidFill>
            <a:srgbClr val="5B9BD4"/>
          </a:solidFill>
        </xdr:spPr>
      </xdr:sp>
      <xdr:sp macro="" textlink="">
        <xdr:nvSpPr>
          <xdr:cNvPr id="28" name="Shape 74"/>
          <xdr:cNvSpPr/>
        </xdr:nvSpPr>
        <xdr:spPr>
          <a:xfrm>
            <a:off x="2114931" y="35872543"/>
            <a:ext cx="103504" cy="103631"/>
          </a:xfrm>
          <a:custGeom>
            <a:avLst/>
            <a:gdLst/>
            <a:ahLst/>
            <a:cxnLst/>
            <a:rect l="0" t="0" r="0" b="0"/>
            <a:pathLst>
              <a:path w="103504" h="103631">
                <a:moveTo>
                  <a:pt x="0" y="0"/>
                </a:moveTo>
                <a:lnTo>
                  <a:pt x="103504" y="103631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29" name="Shape 75"/>
          <xdr:cNvSpPr/>
        </xdr:nvSpPr>
        <xdr:spPr>
          <a:xfrm>
            <a:off x="2244979" y="35868987"/>
            <a:ext cx="109727" cy="103632"/>
          </a:xfrm>
          <a:custGeom>
            <a:avLst/>
            <a:gdLst/>
            <a:ahLst/>
            <a:cxnLst/>
            <a:rect l="0" t="0" r="0" b="0"/>
            <a:pathLst>
              <a:path w="109727" h="103632">
                <a:moveTo>
                  <a:pt x="0" y="0"/>
                </a:moveTo>
                <a:lnTo>
                  <a:pt x="109727" y="103632"/>
                </a:lnTo>
              </a:path>
            </a:pathLst>
          </a:custGeom>
          <a:ln w="3555">
            <a:solidFill>
              <a:srgbClr val="000000"/>
            </a:solidFill>
            <a:prstDash val="solid"/>
          </a:ln>
        </xdr:spPr>
      </xdr:sp>
      <xdr:sp macro="" textlink="">
        <xdr:nvSpPr>
          <xdr:cNvPr id="30" name="Shape 76"/>
          <xdr:cNvSpPr/>
        </xdr:nvSpPr>
        <xdr:spPr>
          <a:xfrm>
            <a:off x="2050288" y="35872543"/>
            <a:ext cx="64642" cy="93852"/>
          </a:xfrm>
          <a:custGeom>
            <a:avLst/>
            <a:gdLst/>
            <a:ahLst/>
            <a:cxnLst/>
            <a:rect l="0" t="0" r="0" b="0"/>
            <a:pathLst>
              <a:path w="64642" h="93852">
                <a:moveTo>
                  <a:pt x="64642" y="0"/>
                </a:moveTo>
                <a:lnTo>
                  <a:pt x="0" y="93852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31" name="Shape 77"/>
          <xdr:cNvSpPr/>
        </xdr:nvSpPr>
        <xdr:spPr>
          <a:xfrm>
            <a:off x="2167128" y="35872543"/>
            <a:ext cx="64515" cy="93852"/>
          </a:xfrm>
          <a:custGeom>
            <a:avLst/>
            <a:gdLst/>
            <a:ahLst/>
            <a:cxnLst/>
            <a:rect l="0" t="0" r="0" b="0"/>
            <a:pathLst>
              <a:path w="64515" h="93852">
                <a:moveTo>
                  <a:pt x="64515" y="0"/>
                </a:moveTo>
                <a:lnTo>
                  <a:pt x="0" y="93852"/>
                </a:lnTo>
              </a:path>
            </a:pathLst>
          </a:custGeom>
          <a:ln w="3556">
            <a:solidFill>
              <a:srgbClr val="000000"/>
            </a:solidFill>
            <a:prstDash val="solid"/>
          </a:ln>
        </xdr:spPr>
      </xdr:sp>
      <xdr:sp macro="" textlink="">
        <xdr:nvSpPr>
          <xdr:cNvPr id="32" name="Shape 78"/>
          <xdr:cNvSpPr/>
        </xdr:nvSpPr>
        <xdr:spPr>
          <a:xfrm>
            <a:off x="270382" y="36260020"/>
            <a:ext cx="42672" cy="320928"/>
          </a:xfrm>
          <a:custGeom>
            <a:avLst/>
            <a:gdLst/>
            <a:ahLst/>
            <a:cxnLst/>
            <a:rect l="0" t="0" r="0" b="0"/>
            <a:pathLst>
              <a:path w="42672" h="320928">
                <a:moveTo>
                  <a:pt x="19558" y="278256"/>
                </a:moveTo>
                <a:lnTo>
                  <a:pt x="0" y="278256"/>
                </a:lnTo>
                <a:lnTo>
                  <a:pt x="21336" y="320928"/>
                </a:lnTo>
                <a:lnTo>
                  <a:pt x="42672" y="278256"/>
                </a:lnTo>
                <a:lnTo>
                  <a:pt x="23114" y="278256"/>
                </a:lnTo>
                <a:lnTo>
                  <a:pt x="23114" y="285368"/>
                </a:lnTo>
                <a:lnTo>
                  <a:pt x="19558" y="285368"/>
                </a:lnTo>
                <a:lnTo>
                  <a:pt x="19558" y="278256"/>
                </a:lnTo>
                <a:close/>
              </a:path>
              <a:path w="42672" h="320928">
                <a:moveTo>
                  <a:pt x="19558" y="285368"/>
                </a:moveTo>
                <a:lnTo>
                  <a:pt x="23114" y="285368"/>
                </a:lnTo>
                <a:lnTo>
                  <a:pt x="23114" y="35560"/>
                </a:lnTo>
                <a:lnTo>
                  <a:pt x="42672" y="42671"/>
                </a:lnTo>
                <a:lnTo>
                  <a:pt x="21336" y="0"/>
                </a:lnTo>
                <a:lnTo>
                  <a:pt x="19558" y="35560"/>
                </a:lnTo>
                <a:lnTo>
                  <a:pt x="19558" y="285368"/>
                </a:lnTo>
                <a:close/>
              </a:path>
              <a:path w="42672" h="320928">
                <a:moveTo>
                  <a:pt x="19558" y="35560"/>
                </a:moveTo>
                <a:lnTo>
                  <a:pt x="21336" y="0"/>
                </a:lnTo>
                <a:lnTo>
                  <a:pt x="0" y="42671"/>
                </a:lnTo>
                <a:lnTo>
                  <a:pt x="19558" y="42671"/>
                </a:lnTo>
                <a:lnTo>
                  <a:pt x="19558" y="35560"/>
                </a:lnTo>
                <a:close/>
              </a:path>
              <a:path w="42672" h="320928">
                <a:moveTo>
                  <a:pt x="42672" y="42671"/>
                </a:moveTo>
                <a:lnTo>
                  <a:pt x="23114" y="35560"/>
                </a:lnTo>
                <a:lnTo>
                  <a:pt x="23114" y="42671"/>
                </a:lnTo>
                <a:lnTo>
                  <a:pt x="42672" y="42671"/>
                </a:lnTo>
                <a:close/>
              </a:path>
            </a:pathLst>
          </a:custGeom>
          <a:solidFill>
            <a:srgbClr val="5B9BD4"/>
          </a:solidFill>
        </xdr:spPr>
      </xdr:sp>
      <xdr:sp macro="" textlink="">
        <xdr:nvSpPr>
          <xdr:cNvPr id="33" name="Shape 79"/>
          <xdr:cNvSpPr/>
        </xdr:nvSpPr>
        <xdr:spPr>
          <a:xfrm>
            <a:off x="1981962" y="35867971"/>
            <a:ext cx="49910" cy="431164"/>
          </a:xfrm>
          <a:custGeom>
            <a:avLst/>
            <a:gdLst/>
            <a:ahLst/>
            <a:cxnLst/>
            <a:rect l="0" t="0" r="0" b="0"/>
            <a:pathLst>
              <a:path w="49910" h="431164">
                <a:moveTo>
                  <a:pt x="19454" y="388517"/>
                </a:moveTo>
                <a:lnTo>
                  <a:pt x="0" y="388112"/>
                </a:lnTo>
                <a:lnTo>
                  <a:pt x="20319" y="431164"/>
                </a:lnTo>
                <a:lnTo>
                  <a:pt x="42671" y="389000"/>
                </a:lnTo>
                <a:lnTo>
                  <a:pt x="23011" y="388591"/>
                </a:lnTo>
                <a:lnTo>
                  <a:pt x="22859" y="395731"/>
                </a:lnTo>
                <a:lnTo>
                  <a:pt x="19303" y="395604"/>
                </a:lnTo>
                <a:lnTo>
                  <a:pt x="19454" y="388517"/>
                </a:lnTo>
                <a:close/>
              </a:path>
              <a:path w="49910" h="431164">
                <a:moveTo>
                  <a:pt x="19303" y="395604"/>
                </a:moveTo>
                <a:lnTo>
                  <a:pt x="22859" y="395731"/>
                </a:lnTo>
                <a:lnTo>
                  <a:pt x="23011" y="388591"/>
                </a:lnTo>
                <a:lnTo>
                  <a:pt x="30330" y="42645"/>
                </a:lnTo>
                <a:lnTo>
                  <a:pt x="30479" y="35560"/>
                </a:lnTo>
                <a:lnTo>
                  <a:pt x="49910" y="43052"/>
                </a:lnTo>
                <a:lnTo>
                  <a:pt x="29463" y="0"/>
                </a:lnTo>
                <a:lnTo>
                  <a:pt x="26923" y="35432"/>
                </a:lnTo>
                <a:lnTo>
                  <a:pt x="26772" y="42570"/>
                </a:lnTo>
                <a:lnTo>
                  <a:pt x="19454" y="388517"/>
                </a:lnTo>
                <a:lnTo>
                  <a:pt x="19303" y="395604"/>
                </a:lnTo>
                <a:close/>
              </a:path>
              <a:path w="49910" h="431164">
                <a:moveTo>
                  <a:pt x="26923" y="35432"/>
                </a:moveTo>
                <a:lnTo>
                  <a:pt x="29463" y="0"/>
                </a:lnTo>
                <a:lnTo>
                  <a:pt x="7238" y="42163"/>
                </a:lnTo>
                <a:lnTo>
                  <a:pt x="26772" y="42570"/>
                </a:lnTo>
                <a:lnTo>
                  <a:pt x="26923" y="35432"/>
                </a:lnTo>
                <a:close/>
              </a:path>
              <a:path w="49910" h="431164">
                <a:moveTo>
                  <a:pt x="49910" y="43052"/>
                </a:moveTo>
                <a:lnTo>
                  <a:pt x="30479" y="35560"/>
                </a:lnTo>
                <a:lnTo>
                  <a:pt x="30330" y="42645"/>
                </a:lnTo>
                <a:lnTo>
                  <a:pt x="49910" y="43052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5" name="Shape 81"/>
          <xdr:cNvSpPr/>
        </xdr:nvSpPr>
        <xdr:spPr>
          <a:xfrm>
            <a:off x="2534031" y="35872543"/>
            <a:ext cx="47116" cy="729360"/>
          </a:xfrm>
          <a:custGeom>
            <a:avLst/>
            <a:gdLst/>
            <a:ahLst/>
            <a:cxnLst/>
            <a:rect l="0" t="0" r="0" b="0"/>
            <a:pathLst>
              <a:path w="47116" h="729360">
                <a:moveTo>
                  <a:pt x="19606" y="686678"/>
                </a:moveTo>
                <a:lnTo>
                  <a:pt x="0" y="686562"/>
                </a:lnTo>
                <a:lnTo>
                  <a:pt x="21082" y="729360"/>
                </a:lnTo>
                <a:lnTo>
                  <a:pt x="42672" y="686815"/>
                </a:lnTo>
                <a:lnTo>
                  <a:pt x="23162" y="686699"/>
                </a:lnTo>
                <a:lnTo>
                  <a:pt x="23113" y="693801"/>
                </a:lnTo>
                <a:lnTo>
                  <a:pt x="19558" y="693801"/>
                </a:lnTo>
                <a:lnTo>
                  <a:pt x="19606" y="686678"/>
                </a:lnTo>
                <a:close/>
              </a:path>
              <a:path w="47116" h="729360">
                <a:moveTo>
                  <a:pt x="19558" y="693801"/>
                </a:moveTo>
                <a:lnTo>
                  <a:pt x="23113" y="693801"/>
                </a:lnTo>
                <a:lnTo>
                  <a:pt x="23162" y="686699"/>
                </a:lnTo>
                <a:lnTo>
                  <a:pt x="27510" y="42682"/>
                </a:lnTo>
                <a:lnTo>
                  <a:pt x="27559" y="35559"/>
                </a:lnTo>
                <a:lnTo>
                  <a:pt x="47116" y="42798"/>
                </a:lnTo>
                <a:lnTo>
                  <a:pt x="26035" y="0"/>
                </a:lnTo>
                <a:lnTo>
                  <a:pt x="24002" y="35559"/>
                </a:lnTo>
                <a:lnTo>
                  <a:pt x="23955" y="42661"/>
                </a:lnTo>
                <a:lnTo>
                  <a:pt x="19606" y="686678"/>
                </a:lnTo>
                <a:lnTo>
                  <a:pt x="19558" y="693801"/>
                </a:lnTo>
                <a:close/>
              </a:path>
              <a:path w="47116" h="729360">
                <a:moveTo>
                  <a:pt x="24002" y="35559"/>
                </a:moveTo>
                <a:lnTo>
                  <a:pt x="26035" y="0"/>
                </a:lnTo>
                <a:lnTo>
                  <a:pt x="4445" y="42544"/>
                </a:lnTo>
                <a:lnTo>
                  <a:pt x="23955" y="42661"/>
                </a:lnTo>
                <a:lnTo>
                  <a:pt x="24002" y="35559"/>
                </a:lnTo>
                <a:close/>
              </a:path>
              <a:path w="47116" h="729360">
                <a:moveTo>
                  <a:pt x="47116" y="42798"/>
                </a:moveTo>
                <a:lnTo>
                  <a:pt x="27559" y="35559"/>
                </a:lnTo>
                <a:lnTo>
                  <a:pt x="27510" y="42682"/>
                </a:lnTo>
                <a:lnTo>
                  <a:pt x="47116" y="42798"/>
                </a:lnTo>
                <a:close/>
              </a:path>
            </a:pathLst>
          </a:custGeom>
          <a:solidFill>
            <a:srgbClr val="5B9BD4"/>
          </a:solidFill>
        </xdr:spPr>
      </xdr:sp>
      <xdr:sp macro="" textlink="">
        <xdr:nvSpPr>
          <xdr:cNvPr id="37" name="Shape 83"/>
          <xdr:cNvSpPr/>
        </xdr:nvSpPr>
        <xdr:spPr>
          <a:xfrm>
            <a:off x="491650" y="36327395"/>
            <a:ext cx="1517721" cy="299363"/>
          </a:xfrm>
          <a:custGeom>
            <a:avLst/>
            <a:gdLst/>
            <a:ahLst/>
            <a:cxnLst/>
            <a:rect l="0" t="0" r="0" b="0"/>
            <a:pathLst>
              <a:path w="1132205" h="229235">
                <a:moveTo>
                  <a:pt x="1096898" y="18034"/>
                </a:moveTo>
                <a:lnTo>
                  <a:pt x="1132205" y="13588"/>
                </a:lnTo>
                <a:lnTo>
                  <a:pt x="1086484" y="0"/>
                </a:lnTo>
                <a:lnTo>
                  <a:pt x="1089921" y="19280"/>
                </a:lnTo>
                <a:lnTo>
                  <a:pt x="1096898" y="18034"/>
                </a:lnTo>
                <a:close/>
              </a:path>
              <a:path w="1132205" h="229235">
                <a:moveTo>
                  <a:pt x="35306" y="211327"/>
                </a:moveTo>
                <a:lnTo>
                  <a:pt x="34670" y="207772"/>
                </a:lnTo>
                <a:lnTo>
                  <a:pt x="0" y="215773"/>
                </a:lnTo>
                <a:lnTo>
                  <a:pt x="45719" y="229235"/>
                </a:lnTo>
                <a:lnTo>
                  <a:pt x="35306" y="211327"/>
                </a:lnTo>
                <a:close/>
              </a:path>
              <a:path w="1132205" h="229235">
                <a:moveTo>
                  <a:pt x="1093978" y="42037"/>
                </a:moveTo>
                <a:lnTo>
                  <a:pt x="1097533" y="21589"/>
                </a:lnTo>
                <a:lnTo>
                  <a:pt x="1090555" y="22836"/>
                </a:lnTo>
                <a:lnTo>
                  <a:pt x="1093978" y="42037"/>
                </a:lnTo>
                <a:close/>
              </a:path>
              <a:path w="1132205" h="229235">
                <a:moveTo>
                  <a:pt x="45719" y="229235"/>
                </a:moveTo>
                <a:lnTo>
                  <a:pt x="42295" y="210079"/>
                </a:lnTo>
                <a:lnTo>
                  <a:pt x="1090555" y="22836"/>
                </a:lnTo>
                <a:lnTo>
                  <a:pt x="1097533" y="21589"/>
                </a:lnTo>
                <a:lnTo>
                  <a:pt x="1093978" y="42037"/>
                </a:lnTo>
                <a:lnTo>
                  <a:pt x="1132205" y="13588"/>
                </a:lnTo>
                <a:lnTo>
                  <a:pt x="1096898" y="18034"/>
                </a:lnTo>
                <a:lnTo>
                  <a:pt x="1089921" y="19280"/>
                </a:lnTo>
                <a:lnTo>
                  <a:pt x="41659" y="206523"/>
                </a:lnTo>
                <a:lnTo>
                  <a:pt x="38226" y="187325"/>
                </a:lnTo>
                <a:lnTo>
                  <a:pt x="0" y="215773"/>
                </a:lnTo>
                <a:lnTo>
                  <a:pt x="34670" y="207772"/>
                </a:lnTo>
                <a:lnTo>
                  <a:pt x="35306" y="211327"/>
                </a:lnTo>
                <a:lnTo>
                  <a:pt x="45719" y="229235"/>
                </a:lnTo>
                <a:close/>
              </a:path>
            </a:pathLst>
          </a:custGeom>
          <a:solidFill>
            <a:srgbClr val="5B9BD4"/>
          </a:solidFill>
        </xdr:spPr>
      </xdr:sp>
    </xdr:grpSp>
    <xdr:clientData/>
  </xdr:oneCellAnchor>
  <xdr:twoCellAnchor>
    <xdr:from>
      <xdr:col>2</xdr:col>
      <xdr:colOff>224117</xdr:colOff>
      <xdr:row>62</xdr:row>
      <xdr:rowOff>171824</xdr:rowOff>
    </xdr:from>
    <xdr:to>
      <xdr:col>3</xdr:col>
      <xdr:colOff>444726</xdr:colOff>
      <xdr:row>63</xdr:row>
      <xdr:rowOff>48349</xdr:rowOff>
    </xdr:to>
    <xdr:sp macro="" textlink="">
      <xdr:nvSpPr>
        <xdr:cNvPr id="39" name="Shape 82"/>
        <xdr:cNvSpPr/>
      </xdr:nvSpPr>
      <xdr:spPr>
        <a:xfrm>
          <a:off x="1438900" y="9558781"/>
          <a:ext cx="828000" cy="58742"/>
        </a:xfrm>
        <a:custGeom>
          <a:avLst/>
          <a:gdLst/>
          <a:ahLst/>
          <a:cxnLst/>
          <a:rect l="0" t="0" r="0" b="0"/>
          <a:pathLst>
            <a:path w="372744" h="45212">
              <a:moveTo>
                <a:pt x="330200" y="42672"/>
              </a:moveTo>
              <a:lnTo>
                <a:pt x="372744" y="20954"/>
              </a:lnTo>
              <a:lnTo>
                <a:pt x="337057" y="19558"/>
              </a:lnTo>
              <a:lnTo>
                <a:pt x="329994" y="19620"/>
              </a:lnTo>
              <a:lnTo>
                <a:pt x="42720" y="22161"/>
              </a:lnTo>
              <a:lnTo>
                <a:pt x="42544" y="2539"/>
              </a:lnTo>
              <a:lnTo>
                <a:pt x="0" y="24257"/>
              </a:lnTo>
              <a:lnTo>
                <a:pt x="35559" y="22225"/>
              </a:lnTo>
              <a:lnTo>
                <a:pt x="42751" y="25717"/>
              </a:lnTo>
              <a:lnTo>
                <a:pt x="330026" y="23177"/>
              </a:lnTo>
              <a:lnTo>
                <a:pt x="337184" y="23113"/>
              </a:lnTo>
              <a:lnTo>
                <a:pt x="330200" y="42672"/>
              </a:lnTo>
              <a:close/>
            </a:path>
            <a:path w="372744" h="45212">
              <a:moveTo>
                <a:pt x="35559" y="25781"/>
              </a:moveTo>
              <a:lnTo>
                <a:pt x="35559" y="22225"/>
              </a:lnTo>
              <a:lnTo>
                <a:pt x="0" y="24257"/>
              </a:lnTo>
              <a:lnTo>
                <a:pt x="42925" y="45212"/>
              </a:lnTo>
              <a:lnTo>
                <a:pt x="42751" y="25717"/>
              </a:lnTo>
              <a:lnTo>
                <a:pt x="35559" y="22225"/>
              </a:lnTo>
              <a:lnTo>
                <a:pt x="35559" y="25781"/>
              </a:lnTo>
              <a:close/>
            </a:path>
            <a:path w="372744" h="45212">
              <a:moveTo>
                <a:pt x="337057" y="19558"/>
              </a:moveTo>
              <a:lnTo>
                <a:pt x="372744" y="20954"/>
              </a:lnTo>
              <a:lnTo>
                <a:pt x="329819" y="0"/>
              </a:lnTo>
              <a:lnTo>
                <a:pt x="329994" y="19620"/>
              </a:lnTo>
              <a:lnTo>
                <a:pt x="337057" y="19558"/>
              </a:lnTo>
              <a:close/>
            </a:path>
            <a:path w="372744" h="45212">
              <a:moveTo>
                <a:pt x="330200" y="42672"/>
              </a:moveTo>
              <a:lnTo>
                <a:pt x="337184" y="23113"/>
              </a:lnTo>
              <a:lnTo>
                <a:pt x="330026" y="23177"/>
              </a:lnTo>
              <a:lnTo>
                <a:pt x="330200" y="42672"/>
              </a:lnTo>
              <a:close/>
            </a:path>
          </a:pathLst>
        </a:custGeom>
        <a:solidFill>
          <a:srgbClr val="5B9BD4"/>
        </a:solidFill>
      </xdr:spPr>
    </xdr:sp>
    <xdr:clientData/>
  </xdr:twoCellAnchor>
  <xdr:twoCellAnchor>
    <xdr:from>
      <xdr:col>3</xdr:col>
      <xdr:colOff>91958</xdr:colOff>
      <xdr:row>77</xdr:row>
      <xdr:rowOff>0</xdr:rowOff>
    </xdr:from>
    <xdr:to>
      <xdr:col>6</xdr:col>
      <xdr:colOff>29785</xdr:colOff>
      <xdr:row>77</xdr:row>
      <xdr:rowOff>63290</xdr:rowOff>
    </xdr:to>
    <xdr:sp macro="" textlink="">
      <xdr:nvSpPr>
        <xdr:cNvPr id="40" name="Shape 82"/>
        <xdr:cNvSpPr/>
      </xdr:nvSpPr>
      <xdr:spPr>
        <a:xfrm>
          <a:off x="1918130" y="12218276"/>
          <a:ext cx="1764000" cy="63290"/>
        </a:xfrm>
        <a:custGeom>
          <a:avLst/>
          <a:gdLst/>
          <a:ahLst/>
          <a:cxnLst/>
          <a:rect l="0" t="0" r="0" b="0"/>
          <a:pathLst>
            <a:path w="372744" h="45212">
              <a:moveTo>
                <a:pt x="330200" y="42672"/>
              </a:moveTo>
              <a:lnTo>
                <a:pt x="372744" y="20954"/>
              </a:lnTo>
              <a:lnTo>
                <a:pt x="337057" y="19558"/>
              </a:lnTo>
              <a:lnTo>
                <a:pt x="329994" y="19620"/>
              </a:lnTo>
              <a:lnTo>
                <a:pt x="42720" y="22161"/>
              </a:lnTo>
              <a:lnTo>
                <a:pt x="42544" y="2539"/>
              </a:lnTo>
              <a:lnTo>
                <a:pt x="0" y="24257"/>
              </a:lnTo>
              <a:lnTo>
                <a:pt x="35559" y="22225"/>
              </a:lnTo>
              <a:lnTo>
                <a:pt x="42751" y="25717"/>
              </a:lnTo>
              <a:lnTo>
                <a:pt x="330026" y="23177"/>
              </a:lnTo>
              <a:lnTo>
                <a:pt x="337184" y="23113"/>
              </a:lnTo>
              <a:lnTo>
                <a:pt x="330200" y="42672"/>
              </a:lnTo>
              <a:close/>
            </a:path>
            <a:path w="372744" h="45212">
              <a:moveTo>
                <a:pt x="35559" y="25781"/>
              </a:moveTo>
              <a:lnTo>
                <a:pt x="35559" y="22225"/>
              </a:lnTo>
              <a:lnTo>
                <a:pt x="0" y="24257"/>
              </a:lnTo>
              <a:lnTo>
                <a:pt x="42925" y="45212"/>
              </a:lnTo>
              <a:lnTo>
                <a:pt x="42751" y="25717"/>
              </a:lnTo>
              <a:lnTo>
                <a:pt x="35559" y="22225"/>
              </a:lnTo>
              <a:lnTo>
                <a:pt x="35559" y="25781"/>
              </a:lnTo>
              <a:close/>
            </a:path>
            <a:path w="372744" h="45212">
              <a:moveTo>
                <a:pt x="337057" y="19558"/>
              </a:moveTo>
              <a:lnTo>
                <a:pt x="372744" y="20954"/>
              </a:lnTo>
              <a:lnTo>
                <a:pt x="329819" y="0"/>
              </a:lnTo>
              <a:lnTo>
                <a:pt x="329994" y="19620"/>
              </a:lnTo>
              <a:lnTo>
                <a:pt x="337057" y="19558"/>
              </a:lnTo>
              <a:close/>
            </a:path>
            <a:path w="372744" h="45212">
              <a:moveTo>
                <a:pt x="330200" y="42672"/>
              </a:moveTo>
              <a:lnTo>
                <a:pt x="337184" y="23113"/>
              </a:lnTo>
              <a:lnTo>
                <a:pt x="330026" y="23177"/>
              </a:lnTo>
              <a:lnTo>
                <a:pt x="330200" y="42672"/>
              </a:lnTo>
              <a:close/>
            </a:path>
          </a:pathLst>
        </a:custGeom>
        <a:solidFill>
          <a:srgbClr val="5B9BD4"/>
        </a:solidFill>
      </xdr:spPr>
    </xdr:sp>
    <xdr:clientData/>
  </xdr:twoCellAnchor>
  <xdr:twoCellAnchor>
    <xdr:from>
      <xdr:col>2</xdr:col>
      <xdr:colOff>205828</xdr:colOff>
      <xdr:row>63</xdr:row>
      <xdr:rowOff>109483</xdr:rowOff>
    </xdr:from>
    <xdr:to>
      <xdr:col>3</xdr:col>
      <xdr:colOff>39414</xdr:colOff>
      <xdr:row>75</xdr:row>
      <xdr:rowOff>135758</xdr:rowOff>
    </xdr:to>
    <xdr:cxnSp macro="">
      <xdr:nvCxnSpPr>
        <xdr:cNvPr id="3" name="Straight Arrow Connector 2"/>
        <xdr:cNvCxnSpPr/>
      </xdr:nvCxnSpPr>
      <xdr:spPr>
        <a:xfrm>
          <a:off x="1423276" y="13549586"/>
          <a:ext cx="442310" cy="2233448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486337</xdr:colOff>
      <xdr:row>60</xdr:row>
      <xdr:rowOff>140072</xdr:rowOff>
    </xdr:from>
    <xdr:to>
      <xdr:col>18</xdr:col>
      <xdr:colOff>493807</xdr:colOff>
      <xdr:row>77</xdr:row>
      <xdr:rowOff>97460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2219" y="11360896"/>
          <a:ext cx="4908176" cy="3154799"/>
        </a:xfrm>
        <a:prstGeom prst="rect">
          <a:avLst/>
        </a:prstGeom>
      </xdr:spPr>
    </xdr:pic>
    <xdr:clientData/>
  </xdr:twoCellAnchor>
  <xdr:twoCellAnchor>
    <xdr:from>
      <xdr:col>1</xdr:col>
      <xdr:colOff>403411</xdr:colOff>
      <xdr:row>63</xdr:row>
      <xdr:rowOff>179295</xdr:rowOff>
    </xdr:from>
    <xdr:to>
      <xdr:col>1</xdr:col>
      <xdr:colOff>410882</xdr:colOff>
      <xdr:row>75</xdr:row>
      <xdr:rowOff>171824</xdr:rowOff>
    </xdr:to>
    <xdr:cxnSp macro="">
      <xdr:nvCxnSpPr>
        <xdr:cNvPr id="43" name="Straight Arrow Connector 42"/>
        <xdr:cNvCxnSpPr/>
      </xdr:nvCxnSpPr>
      <xdr:spPr>
        <a:xfrm>
          <a:off x="1015999" y="13760824"/>
          <a:ext cx="7471" cy="2233706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508001</xdr:colOff>
      <xdr:row>33</xdr:row>
      <xdr:rowOff>44824</xdr:rowOff>
    </xdr:from>
    <xdr:to>
      <xdr:col>18</xdr:col>
      <xdr:colOff>515471</xdr:colOff>
      <xdr:row>49</xdr:row>
      <xdr:rowOff>166564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33883" y="6103471"/>
          <a:ext cx="4908176" cy="3154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I24"/>
  <sheetViews>
    <sheetView showGridLines="0" view="pageBreakPreview" zoomScale="60" zoomScaleNormal="100" workbookViewId="0">
      <selection activeCell="P18" sqref="P18"/>
    </sheetView>
  </sheetViews>
  <sheetFormatPr defaultRowHeight="14.5" x14ac:dyDescent="0.35"/>
  <cols>
    <col min="1" max="16384" width="8.7265625" style="9"/>
  </cols>
  <sheetData>
    <row r="9" spans="2:9" x14ac:dyDescent="0.35">
      <c r="B9" s="48" t="s">
        <v>99</v>
      </c>
      <c r="C9" s="48"/>
      <c r="D9" s="48"/>
      <c r="E9" s="48"/>
      <c r="F9" s="48"/>
      <c r="G9" s="48"/>
      <c r="H9" s="48"/>
      <c r="I9" s="48"/>
    </row>
    <row r="10" spans="2:9" x14ac:dyDescent="0.35">
      <c r="B10" s="48"/>
      <c r="C10" s="48"/>
      <c r="D10" s="48"/>
      <c r="E10" s="48"/>
      <c r="F10" s="48"/>
      <c r="G10" s="48"/>
      <c r="H10" s="48"/>
      <c r="I10" s="48"/>
    </row>
    <row r="11" spans="2:9" x14ac:dyDescent="0.35">
      <c r="B11" s="48"/>
      <c r="C11" s="48"/>
      <c r="D11" s="48"/>
      <c r="E11" s="48"/>
      <c r="F11" s="48"/>
      <c r="G11" s="48"/>
      <c r="H11" s="48"/>
      <c r="I11" s="48"/>
    </row>
    <row r="12" spans="2:9" x14ac:dyDescent="0.35">
      <c r="B12" s="48"/>
      <c r="C12" s="48"/>
      <c r="D12" s="48"/>
      <c r="E12" s="48"/>
      <c r="F12" s="48"/>
      <c r="G12" s="48"/>
      <c r="H12" s="48"/>
      <c r="I12" s="48"/>
    </row>
    <row r="13" spans="2:9" x14ac:dyDescent="0.35">
      <c r="B13" s="48"/>
      <c r="C13" s="48"/>
      <c r="D13" s="48"/>
      <c r="E13" s="48"/>
      <c r="F13" s="48"/>
      <c r="G13" s="48"/>
      <c r="H13" s="48"/>
      <c r="I13" s="48"/>
    </row>
    <row r="14" spans="2:9" x14ac:dyDescent="0.35">
      <c r="B14" s="48"/>
      <c r="C14" s="48"/>
      <c r="D14" s="48"/>
      <c r="E14" s="48"/>
      <c r="F14" s="48"/>
      <c r="G14" s="48"/>
      <c r="H14" s="48"/>
      <c r="I14" s="48"/>
    </row>
    <row r="15" spans="2:9" x14ac:dyDescent="0.35">
      <c r="B15" s="48"/>
      <c r="C15" s="48"/>
      <c r="D15" s="48"/>
      <c r="E15" s="48"/>
      <c r="F15" s="48"/>
      <c r="G15" s="48"/>
      <c r="H15" s="48"/>
      <c r="I15" s="48"/>
    </row>
    <row r="16" spans="2:9" x14ac:dyDescent="0.35">
      <c r="B16" s="48"/>
      <c r="C16" s="48"/>
      <c r="D16" s="48"/>
      <c r="E16" s="48"/>
      <c r="F16" s="48"/>
      <c r="G16" s="48"/>
      <c r="H16" s="48"/>
      <c r="I16" s="48"/>
    </row>
    <row r="17" spans="2:9" x14ac:dyDescent="0.35">
      <c r="B17" s="48"/>
      <c r="C17" s="48"/>
      <c r="D17" s="48"/>
      <c r="E17" s="48"/>
      <c r="F17" s="48"/>
      <c r="G17" s="48"/>
      <c r="H17" s="48"/>
      <c r="I17" s="48"/>
    </row>
    <row r="18" spans="2:9" x14ac:dyDescent="0.35">
      <c r="B18" s="48"/>
      <c r="C18" s="48"/>
      <c r="D18" s="48"/>
      <c r="E18" s="48"/>
      <c r="F18" s="48"/>
      <c r="G18" s="48"/>
      <c r="H18" s="48"/>
      <c r="I18" s="48"/>
    </row>
    <row r="19" spans="2:9" x14ac:dyDescent="0.35">
      <c r="B19" s="48"/>
      <c r="C19" s="48"/>
      <c r="D19" s="48"/>
      <c r="E19" s="48"/>
      <c r="F19" s="48"/>
      <c r="G19" s="48"/>
      <c r="H19" s="48"/>
      <c r="I19" s="48"/>
    </row>
    <row r="20" spans="2:9" x14ac:dyDescent="0.35">
      <c r="B20" s="48"/>
      <c r="C20" s="48"/>
      <c r="D20" s="48"/>
      <c r="E20" s="48"/>
      <c r="F20" s="48"/>
      <c r="G20" s="48"/>
      <c r="H20" s="48"/>
      <c r="I20" s="48"/>
    </row>
    <row r="21" spans="2:9" x14ac:dyDescent="0.35">
      <c r="B21" s="48"/>
      <c r="C21" s="48"/>
      <c r="D21" s="48"/>
      <c r="E21" s="48"/>
      <c r="F21" s="48"/>
      <c r="G21" s="48"/>
      <c r="H21" s="48"/>
      <c r="I21" s="48"/>
    </row>
    <row r="22" spans="2:9" x14ac:dyDescent="0.35">
      <c r="B22" s="48"/>
      <c r="C22" s="48"/>
      <c r="D22" s="48"/>
      <c r="E22" s="48"/>
      <c r="F22" s="48"/>
      <c r="G22" s="48"/>
      <c r="H22" s="48"/>
      <c r="I22" s="48"/>
    </row>
    <row r="23" spans="2:9" x14ac:dyDescent="0.35">
      <c r="B23" s="48"/>
      <c r="C23" s="48"/>
      <c r="D23" s="48"/>
      <c r="E23" s="48"/>
      <c r="F23" s="48"/>
      <c r="G23" s="48"/>
      <c r="H23" s="48"/>
      <c r="I23" s="48"/>
    </row>
    <row r="24" spans="2:9" x14ac:dyDescent="0.35">
      <c r="B24" s="48"/>
      <c r="C24" s="48"/>
      <c r="D24" s="48"/>
      <c r="E24" s="48"/>
      <c r="F24" s="48"/>
      <c r="G24" s="48"/>
      <c r="H24" s="48"/>
      <c r="I24" s="48"/>
    </row>
  </sheetData>
  <mergeCells count="1">
    <mergeCell ref="B9:I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8"/>
  <sheetViews>
    <sheetView showGridLines="0" tabSelected="1" view="pageBreakPreview" zoomScale="85" zoomScaleNormal="100" zoomScaleSheetLayoutView="85" workbookViewId="0">
      <selection sqref="A1:J1"/>
    </sheetView>
  </sheetViews>
  <sheetFormatPr defaultRowHeight="14.5" x14ac:dyDescent="0.35"/>
  <sheetData>
    <row r="1" spans="1:17" ht="23.5" x14ac:dyDescent="0.55000000000000004">
      <c r="A1" s="61" t="str">
        <f>"DESIGN OF BREAST WALL OF "&amp;H4/1000&amp;" M. HEIGHT"</f>
        <v>DESIGN OF BREAST WALL OF 2.5 M. HEIGHT</v>
      </c>
      <c r="B1" s="61"/>
      <c r="C1" s="61"/>
      <c r="D1" s="61"/>
      <c r="E1" s="61"/>
      <c r="F1" s="61"/>
      <c r="G1" s="61"/>
      <c r="H1" s="61"/>
      <c r="I1" s="61"/>
      <c r="J1" s="61"/>
    </row>
    <row r="3" spans="1:17" x14ac:dyDescent="0.35">
      <c r="A3" s="7" t="s">
        <v>11</v>
      </c>
      <c r="G3" s="1"/>
    </row>
    <row r="4" spans="1:17" ht="15.5" customHeight="1" x14ac:dyDescent="0.35">
      <c r="A4" t="s">
        <v>12</v>
      </c>
      <c r="G4" s="1" t="s">
        <v>1</v>
      </c>
      <c r="H4" s="40">
        <f>B70</f>
        <v>2500</v>
      </c>
      <c r="I4" t="s">
        <v>5</v>
      </c>
      <c r="M4" s="62" t="s">
        <v>100</v>
      </c>
      <c r="N4" s="62"/>
      <c r="O4" s="62"/>
      <c r="P4" s="62"/>
      <c r="Q4" s="47"/>
    </row>
    <row r="5" spans="1:17" x14ac:dyDescent="0.35">
      <c r="A5" t="s">
        <v>13</v>
      </c>
      <c r="G5" s="1" t="s">
        <v>1</v>
      </c>
      <c r="H5" s="40">
        <f>H74</f>
        <v>240</v>
      </c>
      <c r="I5" t="s">
        <v>5</v>
      </c>
      <c r="M5" s="62"/>
      <c r="N5" s="62"/>
      <c r="O5" s="62"/>
      <c r="P5" s="62"/>
      <c r="Q5" s="47"/>
    </row>
    <row r="6" spans="1:17" hidden="1" x14ac:dyDescent="0.35">
      <c r="A6" t="s">
        <v>14</v>
      </c>
      <c r="G6" s="1" t="s">
        <v>1</v>
      </c>
      <c r="H6" s="40">
        <f>H4</f>
        <v>2500</v>
      </c>
      <c r="I6" t="s">
        <v>5</v>
      </c>
      <c r="M6" s="47"/>
      <c r="N6" s="47"/>
      <c r="O6" s="47"/>
      <c r="P6" s="47"/>
      <c r="Q6" s="47"/>
    </row>
    <row r="7" spans="1:17" hidden="1" x14ac:dyDescent="0.35">
      <c r="A7" t="s">
        <v>15</v>
      </c>
      <c r="G7" s="1" t="s">
        <v>1</v>
      </c>
      <c r="H7" s="40" t="s">
        <v>98</v>
      </c>
      <c r="I7" t="s">
        <v>5</v>
      </c>
      <c r="M7" s="47"/>
      <c r="N7" s="47"/>
      <c r="O7" s="47"/>
      <c r="P7" s="47"/>
      <c r="Q7" s="47"/>
    </row>
    <row r="8" spans="1:17" ht="15.5" customHeight="1" x14ac:dyDescent="0.35">
      <c r="A8" t="s">
        <v>16</v>
      </c>
      <c r="G8" s="1" t="s">
        <v>1</v>
      </c>
      <c r="H8" s="40">
        <f>H74</f>
        <v>240</v>
      </c>
      <c r="I8" t="s">
        <v>5</v>
      </c>
      <c r="M8" s="63" t="s">
        <v>101</v>
      </c>
      <c r="N8" s="63"/>
      <c r="O8" s="63"/>
      <c r="P8" s="63"/>
      <c r="Q8" s="63"/>
    </row>
    <row r="9" spans="1:17" x14ac:dyDescent="0.35">
      <c r="A9" t="s">
        <v>17</v>
      </c>
      <c r="G9" s="1" t="s">
        <v>1</v>
      </c>
      <c r="H9" s="42">
        <v>0.5</v>
      </c>
      <c r="M9" s="63"/>
      <c r="N9" s="63"/>
      <c r="O9" s="63"/>
      <c r="P9" s="63"/>
      <c r="Q9" s="63"/>
    </row>
    <row r="10" spans="1:17" x14ac:dyDescent="0.35">
      <c r="G10" s="1" t="s">
        <v>1</v>
      </c>
      <c r="M10" s="63"/>
      <c r="N10" s="63"/>
      <c r="O10" s="63"/>
      <c r="P10" s="63"/>
      <c r="Q10" s="63"/>
    </row>
    <row r="11" spans="1:17" x14ac:dyDescent="0.35">
      <c r="A11" t="s">
        <v>18</v>
      </c>
      <c r="G11" s="1"/>
    </row>
    <row r="12" spans="1:17" x14ac:dyDescent="0.35">
      <c r="A12" t="s">
        <v>19</v>
      </c>
      <c r="F12" t="s">
        <v>37</v>
      </c>
      <c r="G12" s="1" t="s">
        <v>1</v>
      </c>
      <c r="H12" s="42">
        <v>1</v>
      </c>
    </row>
    <row r="13" spans="1:17" x14ac:dyDescent="0.35">
      <c r="F13" t="s">
        <v>38</v>
      </c>
      <c r="G13" s="1" t="s">
        <v>1</v>
      </c>
      <c r="H13" s="42">
        <v>2</v>
      </c>
    </row>
    <row r="14" spans="1:17" x14ac:dyDescent="0.35">
      <c r="A14" t="s">
        <v>39</v>
      </c>
      <c r="F14" t="s">
        <v>37</v>
      </c>
      <c r="G14" s="1" t="s">
        <v>1</v>
      </c>
      <c r="H14" s="40">
        <f>C43</f>
        <v>3.5</v>
      </c>
    </row>
    <row r="15" spans="1:17" ht="16.5" x14ac:dyDescent="0.35">
      <c r="F15" t="s">
        <v>38</v>
      </c>
      <c r="G15" s="1" t="s">
        <v>1</v>
      </c>
      <c r="H15" s="40">
        <f>C44</f>
        <v>1</v>
      </c>
      <c r="I15" t="s">
        <v>40</v>
      </c>
    </row>
    <row r="16" spans="1:17" ht="16.5" x14ac:dyDescent="0.35">
      <c r="A16" t="s">
        <v>20</v>
      </c>
      <c r="G16" s="1" t="s">
        <v>1</v>
      </c>
      <c r="H16" s="42">
        <v>20</v>
      </c>
      <c r="I16" t="s">
        <v>40</v>
      </c>
    </row>
    <row r="17" spans="1:10" ht="16.5" x14ac:dyDescent="0.35">
      <c r="A17" t="s">
        <v>21</v>
      </c>
      <c r="G17" s="1" t="s">
        <v>1</v>
      </c>
      <c r="H17" s="42">
        <v>20</v>
      </c>
      <c r="I17" t="s">
        <v>40</v>
      </c>
    </row>
    <row r="18" spans="1:10" ht="16.5" x14ac:dyDescent="0.35">
      <c r="A18" t="s">
        <v>22</v>
      </c>
      <c r="G18" s="1" t="s">
        <v>1</v>
      </c>
      <c r="H18" s="42">
        <v>10</v>
      </c>
      <c r="I18" t="s">
        <v>40</v>
      </c>
    </row>
    <row r="19" spans="1:10" x14ac:dyDescent="0.35">
      <c r="A19" t="s">
        <v>23</v>
      </c>
      <c r="F19" s="3" t="s">
        <v>42</v>
      </c>
      <c r="G19" s="1" t="s">
        <v>1</v>
      </c>
      <c r="H19" s="42">
        <v>30</v>
      </c>
      <c r="I19" t="s">
        <v>41</v>
      </c>
      <c r="J19" s="26">
        <f>RADIANS(H19)</f>
        <v>0.52359877559829882</v>
      </c>
    </row>
    <row r="20" spans="1:10" x14ac:dyDescent="0.35">
      <c r="A20" t="s">
        <v>24</v>
      </c>
      <c r="F20" s="3" t="s">
        <v>43</v>
      </c>
      <c r="G20" s="1" t="s">
        <v>1</v>
      </c>
      <c r="H20" s="40">
        <f>MIN(2/3*H19,22.5)</f>
        <v>20</v>
      </c>
      <c r="I20" t="s">
        <v>41</v>
      </c>
      <c r="J20" s="26">
        <f t="shared" ref="J20:J21" si="0">RADIANS(H20)</f>
        <v>0.3490658503988659</v>
      </c>
    </row>
    <row r="21" spans="1:10" x14ac:dyDescent="0.35">
      <c r="A21" t="s">
        <v>25</v>
      </c>
      <c r="F21" s="3" t="s">
        <v>44</v>
      </c>
      <c r="G21" s="1" t="s">
        <v>1</v>
      </c>
      <c r="H21" s="29">
        <f>90+C46</f>
        <v>105.94539590092285</v>
      </c>
      <c r="I21" t="s">
        <v>41</v>
      </c>
      <c r="J21" s="26">
        <f t="shared" si="0"/>
        <v>1.8490959858000078</v>
      </c>
    </row>
    <row r="22" spans="1:10" x14ac:dyDescent="0.35">
      <c r="A22" t="s">
        <v>26</v>
      </c>
      <c r="F22" s="3" t="s">
        <v>45</v>
      </c>
      <c r="G22" s="1" t="s">
        <v>1</v>
      </c>
      <c r="H22" s="41">
        <f>DEGREES(ATAN((H12)/H13))</f>
        <v>26.56505117707799</v>
      </c>
      <c r="I22" t="s">
        <v>41</v>
      </c>
      <c r="J22" s="26">
        <f>RADIANS(H22)</f>
        <v>0.46364760900080609</v>
      </c>
    </row>
    <row r="23" spans="1:10" ht="16.5" x14ac:dyDescent="0.35">
      <c r="A23" t="s">
        <v>27</v>
      </c>
      <c r="F23" t="s">
        <v>46</v>
      </c>
      <c r="G23" s="1" t="s">
        <v>1</v>
      </c>
      <c r="H23" s="42">
        <f>1.2*0</f>
        <v>0</v>
      </c>
      <c r="I23" t="s">
        <v>47</v>
      </c>
    </row>
    <row r="25" spans="1:10" x14ac:dyDescent="0.35">
      <c r="A25" t="s">
        <v>0</v>
      </c>
    </row>
    <row r="27" spans="1:10" ht="16.5" x14ac:dyDescent="0.35">
      <c r="A27" t="s">
        <v>30</v>
      </c>
      <c r="B27" s="58" t="s">
        <v>28</v>
      </c>
      <c r="C27" s="58"/>
      <c r="D27" s="58"/>
      <c r="E27" s="58"/>
      <c r="F27" s="58"/>
      <c r="G27" s="58"/>
      <c r="H27" s="58"/>
      <c r="I27" t="s">
        <v>1</v>
      </c>
      <c r="J27" s="27">
        <f>((SIN(J21+J19))^2)/((SIN(J21)^2*SIN(J21-J20)*(1+SQRT((((SIN(J19+J20)*(SIN(J19-J22))/((SIN(J21-J20)*(SIN(J21+J22)))))))))^2))</f>
        <v>0.33562841425851514</v>
      </c>
    </row>
    <row r="28" spans="1:10" ht="16.5" x14ac:dyDescent="0.35">
      <c r="B28" t="s">
        <v>29</v>
      </c>
    </row>
    <row r="29" spans="1:10" x14ac:dyDescent="0.35">
      <c r="J29" s="28"/>
    </row>
    <row r="30" spans="1:10" x14ac:dyDescent="0.35">
      <c r="A30" t="s">
        <v>31</v>
      </c>
      <c r="G30" s="1" t="s">
        <v>1</v>
      </c>
      <c r="H30" s="27">
        <f>J27*COS(J20+J22)</f>
        <v>0.23075479603159316</v>
      </c>
      <c r="J30" s="28"/>
    </row>
    <row r="31" spans="1:10" x14ac:dyDescent="0.35">
      <c r="A31" t="s">
        <v>32</v>
      </c>
      <c r="G31" s="1" t="s">
        <v>1</v>
      </c>
      <c r="H31" s="27">
        <f>J27*SIN(J20+J22)</f>
        <v>0.24371839603547224</v>
      </c>
      <c r="J31" s="28"/>
    </row>
    <row r="32" spans="1:10" x14ac:dyDescent="0.35">
      <c r="H32" s="28"/>
      <c r="J32" s="28"/>
    </row>
    <row r="33" spans="1:10" s="8" customFormat="1" x14ac:dyDescent="0.35">
      <c r="A33" s="8" t="s">
        <v>71</v>
      </c>
      <c r="B33" s="8" t="s">
        <v>72</v>
      </c>
      <c r="G33" s="1" t="s">
        <v>1</v>
      </c>
      <c r="H33" s="27">
        <f>(1+SIN(J19))/(1-SIN(J19))</f>
        <v>3</v>
      </c>
      <c r="J33" s="28"/>
    </row>
    <row r="34" spans="1:10" s="8" customFormat="1" x14ac:dyDescent="0.35"/>
    <row r="35" spans="1:10" x14ac:dyDescent="0.35">
      <c r="A35" t="s">
        <v>33</v>
      </c>
    </row>
    <row r="36" spans="1:10" ht="16.5" x14ac:dyDescent="0.35">
      <c r="A36" t="s">
        <v>34</v>
      </c>
      <c r="G36" s="1" t="s">
        <v>1</v>
      </c>
      <c r="H36" s="42">
        <v>25</v>
      </c>
      <c r="I36" t="s">
        <v>40</v>
      </c>
    </row>
    <row r="37" spans="1:10" ht="16.5" x14ac:dyDescent="0.35">
      <c r="A37" t="s">
        <v>35</v>
      </c>
      <c r="G37" s="1" t="s">
        <v>1</v>
      </c>
      <c r="H37" s="42">
        <v>10</v>
      </c>
      <c r="I37" t="s">
        <v>40</v>
      </c>
    </row>
    <row r="38" spans="1:10" x14ac:dyDescent="0.35">
      <c r="A38" t="s">
        <v>36</v>
      </c>
    </row>
    <row r="41" spans="1:10" x14ac:dyDescent="0.35">
      <c r="A41" t="s">
        <v>48</v>
      </c>
      <c r="F41" t="s">
        <v>52</v>
      </c>
    </row>
    <row r="43" spans="1:10" x14ac:dyDescent="0.35">
      <c r="B43" s="4" t="s">
        <v>37</v>
      </c>
      <c r="C43" s="43">
        <v>3.5</v>
      </c>
      <c r="F43" s="4" t="s">
        <v>37</v>
      </c>
      <c r="G43" s="43">
        <v>1</v>
      </c>
      <c r="J43" s="37">
        <f>H67+G73</f>
        <v>2260</v>
      </c>
    </row>
    <row r="44" spans="1:10" x14ac:dyDescent="0.35">
      <c r="B44" s="4" t="s">
        <v>38</v>
      </c>
      <c r="C44" s="43">
        <v>1</v>
      </c>
      <c r="F44" s="4" t="s">
        <v>38</v>
      </c>
      <c r="G44" s="43">
        <v>5</v>
      </c>
    </row>
    <row r="46" spans="1:10" x14ac:dyDescent="0.35">
      <c r="B46" s="4" t="s">
        <v>50</v>
      </c>
      <c r="C46" s="29">
        <f>(DEGREES(ATAN((C44)/C43)))</f>
        <v>15.945395900922854</v>
      </c>
      <c r="D46" t="s">
        <v>41</v>
      </c>
      <c r="F46" s="4" t="s">
        <v>50</v>
      </c>
      <c r="G46" s="29">
        <f>(DEGREES(ATAN((G43)/G44)))</f>
        <v>11.309932474020215</v>
      </c>
      <c r="H46" t="s">
        <v>41</v>
      </c>
    </row>
    <row r="47" spans="1:10" x14ac:dyDescent="0.35">
      <c r="B47" s="4" t="s">
        <v>49</v>
      </c>
      <c r="C47" s="27">
        <f>COS(RADIANS(C46))</f>
        <v>0.96152394764082316</v>
      </c>
      <c r="F47" s="4" t="s">
        <v>49</v>
      </c>
      <c r="G47" s="27">
        <f>COS(RADIANS(G46))</f>
        <v>0.98058067569092011</v>
      </c>
    </row>
    <row r="48" spans="1:10" x14ac:dyDescent="0.35">
      <c r="B48" s="4" t="s">
        <v>51</v>
      </c>
      <c r="C48" s="27">
        <f>SIN(RADIANS(C46))</f>
        <v>0.27472112789737801</v>
      </c>
      <c r="F48" s="4" t="s">
        <v>51</v>
      </c>
      <c r="G48" s="27">
        <f>SIN(RADIANS(G46))</f>
        <v>0.19611613513818404</v>
      </c>
    </row>
    <row r="49" spans="1:9" x14ac:dyDescent="0.35">
      <c r="B49" s="4"/>
    </row>
    <row r="50" spans="1:9" x14ac:dyDescent="0.35">
      <c r="B50" s="4"/>
    </row>
    <row r="51" spans="1:9" x14ac:dyDescent="0.35">
      <c r="A51" s="7" t="s">
        <v>73</v>
      </c>
      <c r="B51" s="4"/>
    </row>
    <row r="52" spans="1:9" x14ac:dyDescent="0.35">
      <c r="B52" s="4"/>
    </row>
    <row r="53" spans="1:9" ht="17.5" x14ac:dyDescent="0.45">
      <c r="A53" t="s">
        <v>56</v>
      </c>
      <c r="B53" s="4"/>
      <c r="D53" s="19" t="s">
        <v>69</v>
      </c>
      <c r="G53" s="1" t="s">
        <v>1</v>
      </c>
      <c r="H53" s="29">
        <f>H30*H16*H23</f>
        <v>0</v>
      </c>
      <c r="I53" t="s">
        <v>47</v>
      </c>
    </row>
    <row r="54" spans="1:9" ht="17.5" x14ac:dyDescent="0.45">
      <c r="A54" t="s">
        <v>57</v>
      </c>
      <c r="B54" s="4"/>
      <c r="D54" s="19" t="s">
        <v>70</v>
      </c>
      <c r="G54" s="1" t="s">
        <v>1</v>
      </c>
      <c r="H54" s="29">
        <f>H30*H16*(H67+H74)/1000</f>
        <v>11.53773980157966</v>
      </c>
      <c r="I54" t="s">
        <v>47</v>
      </c>
    </row>
    <row r="55" spans="1:9" x14ac:dyDescent="0.35">
      <c r="B55" s="4"/>
      <c r="D55" s="20"/>
      <c r="G55" s="1"/>
      <c r="H55" s="2"/>
    </row>
    <row r="56" spans="1:9" x14ac:dyDescent="0.35">
      <c r="A56" t="str">
        <f>"H1 = "&amp;ROUND(H53,2)&amp;" x "&amp;(H67+H74)/1000</f>
        <v>H1 = 0 x 2.5</v>
      </c>
      <c r="B56" s="4"/>
      <c r="D56" s="19" t="s">
        <v>69</v>
      </c>
      <c r="G56" s="1" t="s">
        <v>1</v>
      </c>
      <c r="H56" s="29">
        <f>H53*(H67+H74)/1000</f>
        <v>0</v>
      </c>
      <c r="I56" t="s">
        <v>58</v>
      </c>
    </row>
    <row r="57" spans="1:9" x14ac:dyDescent="0.35">
      <c r="A57" t="str">
        <f>"H2 = 1/2 x "&amp;ROUND(H54,2)&amp;" x "&amp;(H67+H74)/1000</f>
        <v>H2 = 1/2 x 11.54 x 2.5</v>
      </c>
      <c r="B57" s="4"/>
      <c r="D57" s="19" t="s">
        <v>70</v>
      </c>
      <c r="G57" s="1" t="s">
        <v>1</v>
      </c>
      <c r="H57" s="29">
        <f>0.5*H54*(H67+H74)/1000</f>
        <v>14.422174751974575</v>
      </c>
      <c r="I57" t="s">
        <v>58</v>
      </c>
    </row>
    <row r="58" spans="1:9" x14ac:dyDescent="0.35">
      <c r="B58" s="4"/>
    </row>
    <row r="59" spans="1:9" x14ac:dyDescent="0.35">
      <c r="A59" s="7" t="s">
        <v>74</v>
      </c>
      <c r="B59" s="4"/>
    </row>
    <row r="60" spans="1:9" x14ac:dyDescent="0.35">
      <c r="B60" s="4"/>
    </row>
    <row r="61" spans="1:9" ht="16.5" x14ac:dyDescent="0.45">
      <c r="A61" s="8" t="s">
        <v>96</v>
      </c>
      <c r="B61" s="4"/>
      <c r="G61" s="1" t="s">
        <v>1</v>
      </c>
      <c r="H61" s="29">
        <f>(H33*H16*(((H67+G73)/1000)^2-(H67/1000)^2)/2)*0+H33*H16*(G73/1000)</f>
        <v>0</v>
      </c>
      <c r="I61" s="8" t="s">
        <v>58</v>
      </c>
    </row>
    <row r="63" spans="1:9" x14ac:dyDescent="0.35">
      <c r="D63" s="44">
        <v>600</v>
      </c>
    </row>
    <row r="67" spans="1:10" x14ac:dyDescent="0.35">
      <c r="H67" s="38">
        <f>B70-H74</f>
        <v>2260</v>
      </c>
    </row>
    <row r="68" spans="1:10" x14ac:dyDescent="0.35">
      <c r="H68" s="6"/>
    </row>
    <row r="69" spans="1:10" x14ac:dyDescent="0.35">
      <c r="D69" s="6"/>
      <c r="E69" s="1"/>
      <c r="H69" s="6"/>
    </row>
    <row r="70" spans="1:10" x14ac:dyDescent="0.35">
      <c r="B70" s="44">
        <v>2500</v>
      </c>
      <c r="C70" s="39">
        <f>SQRT((H67+H74)^2+C76^2)</f>
        <v>2600.0392461716137</v>
      </c>
      <c r="G70" t="s">
        <v>53</v>
      </c>
      <c r="H70" s="6"/>
    </row>
    <row r="71" spans="1:10" x14ac:dyDescent="0.35">
      <c r="H71" s="6"/>
    </row>
    <row r="72" spans="1:10" x14ac:dyDescent="0.35">
      <c r="H72" s="6"/>
    </row>
    <row r="73" spans="1:10" x14ac:dyDescent="0.35">
      <c r="G73" s="43">
        <v>0</v>
      </c>
      <c r="H73" s="6"/>
    </row>
    <row r="74" spans="1:10" x14ac:dyDescent="0.35">
      <c r="H74" s="36">
        <f>G73+C75</f>
        <v>240</v>
      </c>
    </row>
    <row r="75" spans="1:10" x14ac:dyDescent="0.35">
      <c r="C75" s="37">
        <f>E78/G44</f>
        <v>240</v>
      </c>
    </row>
    <row r="76" spans="1:10" x14ac:dyDescent="0.35">
      <c r="C76" s="25">
        <f>(H67+H74)/C43</f>
        <v>714.28571428571433</v>
      </c>
      <c r="E76" s="35">
        <f>SQRT(C75^2+E78^2)</f>
        <v>1223.7646832622684</v>
      </c>
    </row>
    <row r="77" spans="1:10" x14ac:dyDescent="0.35">
      <c r="D77" s="1"/>
      <c r="E77" s="5"/>
    </row>
    <row r="78" spans="1:10" x14ac:dyDescent="0.35">
      <c r="E78" s="45">
        <v>1200</v>
      </c>
    </row>
    <row r="80" spans="1:10" ht="19" customHeight="1" x14ac:dyDescent="0.35">
      <c r="A80" s="59" t="s">
        <v>4</v>
      </c>
      <c r="B80" s="59" t="s">
        <v>54</v>
      </c>
      <c r="C80" s="59"/>
      <c r="D80" s="59"/>
      <c r="E80" s="59"/>
      <c r="F80" s="59" t="s">
        <v>61</v>
      </c>
      <c r="G80" s="60" t="s">
        <v>62</v>
      </c>
      <c r="H80" s="60"/>
      <c r="I80" s="10"/>
      <c r="J80" s="10"/>
    </row>
    <row r="81" spans="1:10" ht="40" customHeight="1" x14ac:dyDescent="0.35">
      <c r="A81" s="59"/>
      <c r="B81" s="59"/>
      <c r="C81" s="59"/>
      <c r="D81" s="59"/>
      <c r="E81" s="59"/>
      <c r="F81" s="59"/>
      <c r="G81" s="11" t="s">
        <v>65</v>
      </c>
      <c r="H81" s="11" t="s">
        <v>66</v>
      </c>
      <c r="I81" s="10"/>
      <c r="J81" s="10"/>
    </row>
    <row r="82" spans="1:10" x14ac:dyDescent="0.35">
      <c r="A82" s="13">
        <v>1</v>
      </c>
      <c r="B82" s="49" t="str">
        <f>ROUND(AVERAGE(D63,E76)/1000,2)&amp;" x "&amp;ROUND(C70/1000,2)&amp;" x "&amp;H36</f>
        <v>0.91 x 2.6 x 25</v>
      </c>
      <c r="C82" s="50"/>
      <c r="D82" s="51"/>
      <c r="E82" s="33">
        <f>AVERAGE(D63,E76)/1000*(C70/1000)*H36</f>
        <v>59.273246903295494</v>
      </c>
      <c r="F82" s="33">
        <f>2/3*E78/1000</f>
        <v>0.8</v>
      </c>
      <c r="G82" s="33">
        <f>F82*E82</f>
        <v>47.418597522636396</v>
      </c>
      <c r="H82" s="14"/>
    </row>
    <row r="83" spans="1:10" x14ac:dyDescent="0.35">
      <c r="A83" s="13">
        <v>2</v>
      </c>
      <c r="B83" s="49" t="s">
        <v>55</v>
      </c>
      <c r="C83" s="50"/>
      <c r="D83" s="51"/>
      <c r="E83" s="46">
        <f>H57/H30*H31*0</f>
        <v>0</v>
      </c>
      <c r="F83" s="33">
        <f>E78/1000</f>
        <v>1.2</v>
      </c>
      <c r="G83" s="33">
        <f t="shared" ref="G83" si="1">F83*E83</f>
        <v>0</v>
      </c>
      <c r="H83" s="14"/>
    </row>
    <row r="84" spans="1:10" x14ac:dyDescent="0.35">
      <c r="A84" s="13" t="s">
        <v>2</v>
      </c>
      <c r="B84" s="55" t="str">
        <f>ROUND(H53,2)&amp;" x "&amp;(H67+H74)/1000</f>
        <v>0 x 2.5</v>
      </c>
      <c r="C84" s="56"/>
      <c r="D84" s="57"/>
      <c r="E84" s="33">
        <f>H53*(H67+H74)/1000</f>
        <v>0</v>
      </c>
      <c r="F84" s="33">
        <f>0.5*(H67+H74)/1000</f>
        <v>1.25</v>
      </c>
      <c r="G84" s="14"/>
      <c r="H84" s="33">
        <f>E84*F84</f>
        <v>0</v>
      </c>
    </row>
    <row r="85" spans="1:10" x14ac:dyDescent="0.35">
      <c r="A85" s="13" t="s">
        <v>3</v>
      </c>
      <c r="B85" s="49" t="str">
        <f>"1/2 x "&amp;ROUND(H54,2)&amp;" x "&amp;(H67+H74)/1000</f>
        <v>1/2 x 11.54 x 2.5</v>
      </c>
      <c r="C85" s="50"/>
      <c r="D85" s="51"/>
      <c r="E85" s="33">
        <f>1/2*H54*(H67+H74)/1000</f>
        <v>14.422174751974575</v>
      </c>
      <c r="F85" s="33">
        <f>0.42*(H67+H74)/1000</f>
        <v>1.05</v>
      </c>
      <c r="G85" s="14"/>
      <c r="H85" s="33">
        <f>E85*F85</f>
        <v>15.143283489573305</v>
      </c>
    </row>
    <row r="86" spans="1:10" x14ac:dyDescent="0.35">
      <c r="A86" s="52" t="s">
        <v>59</v>
      </c>
      <c r="B86" s="53"/>
      <c r="C86" s="54"/>
      <c r="D86" s="13" t="s">
        <v>8</v>
      </c>
      <c r="E86" s="33">
        <f>SUM(E82:E83)</f>
        <v>59.273246903295494</v>
      </c>
      <c r="F86" s="12"/>
      <c r="G86" s="34">
        <f>SUM(G82:G83)</f>
        <v>47.418597522636396</v>
      </c>
      <c r="H86" s="34">
        <f>SUM(H84:H85)</f>
        <v>15.143283489573305</v>
      </c>
    </row>
    <row r="87" spans="1:10" x14ac:dyDescent="0.35">
      <c r="A87" s="52" t="s">
        <v>60</v>
      </c>
      <c r="B87" s="53"/>
      <c r="C87" s="54"/>
      <c r="D87" s="13" t="s">
        <v>63</v>
      </c>
      <c r="E87" s="33">
        <f>SUM(E84:E85)</f>
        <v>14.422174751974575</v>
      </c>
      <c r="F87" s="15"/>
      <c r="G87" s="16"/>
      <c r="H87" s="16"/>
    </row>
    <row r="88" spans="1:10" x14ac:dyDescent="0.35">
      <c r="E88" s="18"/>
      <c r="F88" s="18"/>
    </row>
    <row r="89" spans="1:10" x14ac:dyDescent="0.35">
      <c r="A89" s="17" t="s">
        <v>64</v>
      </c>
    </row>
    <row r="90" spans="1:10" s="8" customFormat="1" ht="16.5" x14ac:dyDescent="0.45">
      <c r="A90" s="17" t="s">
        <v>67</v>
      </c>
      <c r="C90" s="1" t="s">
        <v>1</v>
      </c>
      <c r="D90" s="31">
        <f>G86/H86</f>
        <v>3.1313286550625437</v>
      </c>
      <c r="E90" s="32" t="str">
        <f>IF(D90&gt;2,"&gt; 2 Safe","&lt; 2 Check")</f>
        <v>&gt; 2 Safe</v>
      </c>
    </row>
    <row r="91" spans="1:10" s="8" customFormat="1" x14ac:dyDescent="0.35">
      <c r="A91" s="17"/>
      <c r="C91" s="1"/>
      <c r="D91" s="1"/>
      <c r="E91" s="1"/>
    </row>
    <row r="92" spans="1:10" s="8" customFormat="1" x14ac:dyDescent="0.35">
      <c r="A92" s="17" t="s">
        <v>68</v>
      </c>
      <c r="C92" s="1"/>
      <c r="D92" s="1"/>
      <c r="E92" s="1"/>
    </row>
    <row r="93" spans="1:10" s="8" customFormat="1" x14ac:dyDescent="0.35">
      <c r="A93" s="17" t="s">
        <v>75</v>
      </c>
      <c r="C93" s="1" t="s">
        <v>1</v>
      </c>
      <c r="D93" s="31">
        <f>(H9*E86+H61)/E87</f>
        <v>2.0549344298847942</v>
      </c>
      <c r="E93" s="32" t="str">
        <f>IF(D93&gt;1.5,"&gt; 1.5 Safe","&lt; 1.5 Check")</f>
        <v>&gt; 1.5 Safe</v>
      </c>
    </row>
    <row r="95" spans="1:10" s="9" customFormat="1" x14ac:dyDescent="0.35">
      <c r="A95" s="17" t="s">
        <v>97</v>
      </c>
    </row>
    <row r="96" spans="1:10" ht="16.5" x14ac:dyDescent="0.45">
      <c r="A96" s="9" t="s">
        <v>76</v>
      </c>
      <c r="B96" s="9"/>
      <c r="C96" s="9"/>
      <c r="D96" s="23" t="s">
        <v>77</v>
      </c>
      <c r="E96" s="18" t="s">
        <v>1</v>
      </c>
      <c r="F96" s="21" t="s">
        <v>78</v>
      </c>
      <c r="G96" s="9"/>
      <c r="H96" s="29">
        <f>(G86-H86)/E86</f>
        <v>0.54451739560885493</v>
      </c>
      <c r="I96" s="7" t="s">
        <v>80</v>
      </c>
      <c r="J96" s="30" t="str">
        <f>IF(H96&lt;(E78)/6/1000,"Not OK","OK")</f>
        <v>OK</v>
      </c>
    </row>
    <row r="97" spans="1:10" x14ac:dyDescent="0.35">
      <c r="A97" s="9"/>
      <c r="B97" s="9"/>
      <c r="C97" s="9"/>
      <c r="D97" s="23"/>
      <c r="E97" s="18"/>
      <c r="F97" s="18"/>
      <c r="G97" s="9"/>
      <c r="H97" s="9"/>
      <c r="I97" s="9"/>
      <c r="J97" s="9"/>
    </row>
    <row r="98" spans="1:10" ht="16.5" x14ac:dyDescent="0.45">
      <c r="A98" s="9" t="s">
        <v>6</v>
      </c>
      <c r="B98" s="9"/>
      <c r="C98" s="9"/>
      <c r="D98" s="24" t="s">
        <v>7</v>
      </c>
      <c r="E98" s="1" t="s">
        <v>1</v>
      </c>
      <c r="F98" s="9" t="s">
        <v>79</v>
      </c>
      <c r="G98" s="9"/>
      <c r="H98" s="29">
        <f>(E78/2/1000)-H96</f>
        <v>5.5482604391145052E-2</v>
      </c>
      <c r="I98" s="9" t="s">
        <v>5</v>
      </c>
      <c r="J98" s="9"/>
    </row>
    <row r="99" spans="1:10" x14ac:dyDescent="0.35">
      <c r="A99" s="9"/>
      <c r="B99" s="9"/>
      <c r="C99" s="9"/>
      <c r="D99" s="23"/>
      <c r="E99" s="9"/>
      <c r="F99" s="9"/>
      <c r="G99" s="9"/>
      <c r="H99" s="9"/>
      <c r="I99" s="9"/>
      <c r="J99" s="9"/>
    </row>
    <row r="100" spans="1:10" x14ac:dyDescent="0.35">
      <c r="A100" s="22" t="s">
        <v>81</v>
      </c>
      <c r="B100" s="9"/>
      <c r="C100" s="1"/>
      <c r="D100" s="23" t="s">
        <v>82</v>
      </c>
      <c r="E100" s="1" t="s">
        <v>1</v>
      </c>
      <c r="F100" s="29">
        <f>E86</f>
        <v>59.273246903295494</v>
      </c>
      <c r="G100" s="9" t="s">
        <v>58</v>
      </c>
      <c r="H100" s="9"/>
      <c r="I100" s="9"/>
      <c r="J100" s="9"/>
    </row>
    <row r="101" spans="1:10" ht="16.5" x14ac:dyDescent="0.35">
      <c r="A101" s="9" t="s">
        <v>83</v>
      </c>
      <c r="B101" s="9"/>
      <c r="C101" s="9"/>
      <c r="D101" s="23" t="s">
        <v>84</v>
      </c>
      <c r="E101" s="1" t="s">
        <v>1</v>
      </c>
      <c r="F101" s="29">
        <f>F100*H98</f>
        <v>3.2886341089142075</v>
      </c>
      <c r="G101" s="9" t="s">
        <v>85</v>
      </c>
      <c r="H101" s="9"/>
      <c r="I101" s="9"/>
      <c r="J101" s="9"/>
    </row>
    <row r="102" spans="1:10" x14ac:dyDescent="0.35">
      <c r="A102" s="9"/>
      <c r="B102" s="9"/>
      <c r="C102" s="9"/>
      <c r="D102" s="23"/>
      <c r="E102" s="1"/>
      <c r="F102" s="9"/>
      <c r="G102" s="9"/>
      <c r="H102" s="9"/>
      <c r="I102" s="9"/>
      <c r="J102" s="9"/>
    </row>
    <row r="103" spans="1:10" x14ac:dyDescent="0.35">
      <c r="A103" s="9" t="s">
        <v>86</v>
      </c>
      <c r="B103" s="9"/>
      <c r="C103" s="9"/>
      <c r="D103" s="23" t="s">
        <v>87</v>
      </c>
      <c r="E103" s="1" t="s">
        <v>1</v>
      </c>
      <c r="F103" s="28">
        <f>((E78)/1000)</f>
        <v>1.2</v>
      </c>
      <c r="G103" s="9" t="s">
        <v>5</v>
      </c>
      <c r="H103" s="9"/>
      <c r="I103" s="9"/>
      <c r="J103" s="9"/>
    </row>
    <row r="104" spans="1:10" ht="16.5" x14ac:dyDescent="0.35">
      <c r="A104" s="9" t="s">
        <v>88</v>
      </c>
      <c r="B104" s="9"/>
      <c r="C104" s="9"/>
      <c r="D104" s="23" t="s">
        <v>9</v>
      </c>
      <c r="E104" s="1" t="s">
        <v>1</v>
      </c>
      <c r="F104" s="28">
        <f>F103</f>
        <v>1.2</v>
      </c>
      <c r="G104" s="9" t="s">
        <v>89</v>
      </c>
      <c r="H104" s="9"/>
      <c r="I104" s="9"/>
      <c r="J104" s="9"/>
    </row>
    <row r="105" spans="1:10" ht="16.5" x14ac:dyDescent="0.35">
      <c r="A105" s="9" t="s">
        <v>10</v>
      </c>
      <c r="B105" s="9"/>
      <c r="C105" s="9"/>
      <c r="D105" s="23" t="s">
        <v>90</v>
      </c>
      <c r="E105" s="1" t="s">
        <v>1</v>
      </c>
      <c r="F105" s="29">
        <f>F103^2/6</f>
        <v>0.24</v>
      </c>
      <c r="G105" s="9" t="s">
        <v>91</v>
      </c>
      <c r="H105" s="9"/>
      <c r="I105" s="9"/>
      <c r="J105" s="9"/>
    </row>
    <row r="106" spans="1:10" x14ac:dyDescent="0.35">
      <c r="A106" s="9"/>
      <c r="B106" s="9"/>
      <c r="C106" s="9"/>
      <c r="D106" s="23"/>
      <c r="E106" s="9"/>
      <c r="F106" s="9"/>
      <c r="G106" s="9"/>
      <c r="H106" s="9"/>
      <c r="I106" s="9"/>
      <c r="J106" s="9"/>
    </row>
    <row r="107" spans="1:10" ht="16.5" x14ac:dyDescent="0.35">
      <c r="A107" s="9" t="s">
        <v>92</v>
      </c>
      <c r="B107" s="9"/>
      <c r="C107" s="9"/>
      <c r="D107" s="23" t="s">
        <v>94</v>
      </c>
      <c r="E107" s="1" t="s">
        <v>1</v>
      </c>
      <c r="F107" s="29">
        <f>(F100/F104)+(F101/F105)</f>
        <v>63.097014539888775</v>
      </c>
      <c r="G107" s="9" t="s">
        <v>47</v>
      </c>
      <c r="I107" s="9"/>
      <c r="J107" s="9"/>
    </row>
    <row r="108" spans="1:10" ht="16.5" x14ac:dyDescent="0.35">
      <c r="A108" s="9" t="s">
        <v>93</v>
      </c>
      <c r="B108" s="9"/>
      <c r="C108" s="9"/>
      <c r="D108" s="23" t="s">
        <v>95</v>
      </c>
      <c r="E108" s="1" t="s">
        <v>1</v>
      </c>
      <c r="F108" s="29">
        <f>(F100/F104)-(F101/F105)</f>
        <v>35.691730298937046</v>
      </c>
      <c r="G108" s="9" t="s">
        <v>47</v>
      </c>
      <c r="I108" s="30" t="str">
        <f>IF(F108&lt;0,"Not OK","OK")</f>
        <v>OK</v>
      </c>
      <c r="J108" s="9"/>
    </row>
  </sheetData>
  <sheetProtection algorithmName="SHA-512" hashValue="lU88KaCJOkmtNLcYg36aKoR9Gown4O41pZB3XCmlYll1UDyyDWxh2ptYLQHe6i4AhQwj0tsQWVCDvwxEytK53w==" saltValue="u1BZD/YZYL4Av9KGB0oJ/g==" spinCount="100000" sheet="1" objects="1" scenarios="1" formatCells="0" formatColumns="0" formatRows="0" insertColumns="0" insertRows="0" deleteColumns="0" deleteRows="0" sort="0" autoFilter="0"/>
  <mergeCells count="14">
    <mergeCell ref="M4:P5"/>
    <mergeCell ref="M8:Q10"/>
    <mergeCell ref="A1:J1"/>
    <mergeCell ref="B27:H27"/>
    <mergeCell ref="A80:A81"/>
    <mergeCell ref="B80:E81"/>
    <mergeCell ref="F80:F81"/>
    <mergeCell ref="G80:H80"/>
    <mergeCell ref="B85:D85"/>
    <mergeCell ref="A86:C86"/>
    <mergeCell ref="A87:C87"/>
    <mergeCell ref="B82:D82"/>
    <mergeCell ref="B83:D83"/>
    <mergeCell ref="B84:D84"/>
  </mergeCells>
  <pageMargins left="0.7" right="0.7" top="0.75" bottom="0.75" header="0.3" footer="0.3"/>
  <pageSetup paperSize="9" orientation="portrait" r:id="rId1"/>
  <rowBreaks count="1" manualBreakCount="1">
    <brk id="93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Breast Wall Cover</vt:lpstr>
      <vt:lpstr>Breast Wall</vt:lpstr>
      <vt:lpstr>'Breast Wall'!Print_Area</vt:lpstr>
      <vt:lpstr>'Breast Wall Cover'!Print_Area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Dinesh Choudhari</dc:creator>
  <cp:lastModifiedBy>Dinesh Choudhari</cp:lastModifiedBy>
  <cp:lastPrinted>2024-06-12T09:34:35Z</cp:lastPrinted>
  <dcterms:created xsi:type="dcterms:W3CDTF">2023-08-08T19:19:25Z</dcterms:created>
  <dcterms:modified xsi:type="dcterms:W3CDTF">2024-06-12T10:16:47Z</dcterms:modified>
</cp:coreProperties>
</file>