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E:\Dinesh data\07) My Bridge Courses\Digital Products\"/>
    </mc:Choice>
  </mc:AlternateContent>
  <bookViews>
    <workbookView xWindow="120" yWindow="50" windowWidth="15140" windowHeight="7650" activeTab="1"/>
  </bookViews>
  <sheets>
    <sheet name="PCC Wall w drain Cover" sheetId="4" r:id="rId1"/>
    <sheet name="PCC Wall with Drain" sheetId="3" r:id="rId2"/>
  </sheets>
  <definedNames>
    <definedName name="_xlnm.Print_Area" localSheetId="0">'PCC Wall w drain Cover'!$A$1:$J$38</definedName>
    <definedName name="_xlnm.Print_Area" localSheetId="1">'PCC Wall with Drain'!$A$1:$J$96</definedName>
  </definedNames>
  <calcPr calcId="152511"/>
</workbook>
</file>

<file path=xl/calcChain.xml><?xml version="1.0" encoding="utf-8"?>
<calcChain xmlns="http://schemas.openxmlformats.org/spreadsheetml/2006/main">
  <c r="H24" i="3" l="1"/>
  <c r="F60" i="3"/>
  <c r="F66" i="3"/>
  <c r="B62" i="3" l="1"/>
  <c r="F80" i="3" s="1"/>
  <c r="B76" i="3"/>
  <c r="J65" i="3"/>
  <c r="J66" i="3" s="1"/>
  <c r="H23" i="3"/>
  <c r="J23" i="3" s="1"/>
  <c r="H21" i="3"/>
  <c r="J21" i="3" s="1"/>
  <c r="J20" i="3"/>
  <c r="H35" i="3" s="1"/>
  <c r="A51" i="3" s="1"/>
  <c r="H16" i="3"/>
  <c r="H15" i="3"/>
  <c r="H6" i="3"/>
  <c r="F78" i="3" l="1"/>
  <c r="F91" i="3"/>
  <c r="F76" i="3"/>
  <c r="E77" i="3"/>
  <c r="F77" i="3"/>
  <c r="C68" i="3"/>
  <c r="E76" i="3"/>
  <c r="G76" i="3" s="1"/>
  <c r="H5" i="3"/>
  <c r="H8" i="3" s="1"/>
  <c r="H7" i="3" s="1"/>
  <c r="B77" i="3"/>
  <c r="H51" i="3"/>
  <c r="F79" i="3"/>
  <c r="H22" i="3"/>
  <c r="J22" i="3" s="1"/>
  <c r="J28" i="3" s="1"/>
  <c r="J67" i="3"/>
  <c r="F92" i="3" l="1"/>
  <c r="F93" i="3"/>
  <c r="F75" i="3"/>
  <c r="C60" i="3"/>
  <c r="E75" i="3" s="1"/>
  <c r="G77" i="3"/>
  <c r="H31" i="3"/>
  <c r="H44" i="3" s="1"/>
  <c r="H32" i="3"/>
  <c r="B75" i="3" l="1"/>
  <c r="G75" i="3"/>
  <c r="B80" i="3"/>
  <c r="A47" i="3"/>
  <c r="E80" i="3"/>
  <c r="H47" i="3"/>
  <c r="E78" i="3" s="1"/>
  <c r="H43" i="3"/>
  <c r="H46" i="3" l="1"/>
  <c r="A46" i="3"/>
  <c r="B79" i="3"/>
  <c r="E79" i="3"/>
  <c r="E82" i="3" s="1"/>
  <c r="H80" i="3"/>
  <c r="E81" i="3"/>
  <c r="F88" i="3" s="1"/>
  <c r="G78" i="3" l="1"/>
  <c r="G81" i="3" s="1"/>
  <c r="H79" i="3"/>
  <c r="H81" i="3" s="1"/>
  <c r="H84" i="3" l="1"/>
  <c r="H86" i="3" s="1"/>
  <c r="F89" i="3" s="1"/>
  <c r="H57" i="3"/>
  <c r="I57" i="3" s="1"/>
  <c r="H54" i="3"/>
  <c r="I54" i="3" s="1"/>
  <c r="J84" i="3" l="1"/>
  <c r="L55" i="3" s="1"/>
  <c r="F96" i="3"/>
  <c r="G96" i="3" s="1"/>
  <c r="F95" i="3"/>
  <c r="G95" i="3" s="1"/>
  <c r="J10" i="3" l="1"/>
</calcChain>
</file>

<file path=xl/comments1.xml><?xml version="1.0" encoding="utf-8"?>
<comments xmlns="http://schemas.openxmlformats.org/spreadsheetml/2006/main">
  <authors>
    <author>Dinesh Choudhari</author>
  </authors>
  <commentList>
    <comment ref="H4" authorId="0" shapeId="0">
      <text>
        <r>
          <rPr>
            <b/>
            <sz val="9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Total height of wall</t>
        </r>
      </text>
    </comment>
    <comment ref="G69" authorId="0" shapeId="0">
      <text>
        <r>
          <rPr>
            <b/>
            <sz val="9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Not less than 550 mm
</t>
        </r>
      </text>
    </comment>
  </commentList>
</comments>
</file>

<file path=xl/sharedStrings.xml><?xml version="1.0" encoding="utf-8"?>
<sst xmlns="http://schemas.openxmlformats.org/spreadsheetml/2006/main" count="171" uniqueCount="104">
  <si>
    <t>Active earth pressure Coefficient for active earth pressure By Coulomb's equation</t>
  </si>
  <si>
    <t>=</t>
  </si>
  <si>
    <t>H1</t>
  </si>
  <si>
    <t>H2</t>
  </si>
  <si>
    <t>Component</t>
  </si>
  <si>
    <t>m</t>
  </si>
  <si>
    <t>Eccentricity of resultant</t>
  </si>
  <si>
    <t>e</t>
  </si>
  <si>
    <t>S V</t>
  </si>
  <si>
    <t>A</t>
  </si>
  <si>
    <t>Section modulus</t>
  </si>
  <si>
    <t>A) Salient Levels</t>
  </si>
  <si>
    <t>Ground level</t>
  </si>
  <si>
    <t>Retaining wall top level</t>
  </si>
  <si>
    <t>Foundation slab bottom level</t>
  </si>
  <si>
    <t>Depth of foundation</t>
  </si>
  <si>
    <r>
      <t>Coefficient of friction (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Calibri"/>
        <family val="2"/>
        <charset val="204"/>
      </rPr>
      <t>)</t>
    </r>
  </si>
  <si>
    <t>B) Properties of backfill</t>
  </si>
  <si>
    <t>Slope of backfill</t>
  </si>
  <si>
    <t>Dry density of backfill</t>
  </si>
  <si>
    <t>Saturated density of backfill</t>
  </si>
  <si>
    <t>Submerged density of backfill</t>
  </si>
  <si>
    <t>Angle of internal friction</t>
  </si>
  <si>
    <t xml:space="preserve">Angle of wall friction </t>
  </si>
  <si>
    <t>Angle which earth face of wall makes with the vertical</t>
  </si>
  <si>
    <t>Inclination of backfill with horizontal</t>
  </si>
  <si>
    <t>Surcharge</t>
  </si>
  <si>
    <r>
      <t>Sin</t>
    </r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  <charset val="204"/>
      </rPr>
      <t>(</t>
    </r>
    <r>
      <rPr>
        <sz val="11"/>
        <color rgb="FF000000"/>
        <rFont val="Symbol"/>
        <family val="1"/>
        <charset val="2"/>
      </rPr>
      <t>a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)</t>
    </r>
  </si>
  <si>
    <r>
      <t>Sin</t>
    </r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Symbol"/>
        <family val="1"/>
        <charset val="2"/>
      </rPr>
      <t xml:space="preserve">a </t>
    </r>
    <r>
      <rPr>
        <sz val="11"/>
        <color rgb="FF000000"/>
        <rFont val="Calibri"/>
        <family val="2"/>
        <scheme val="minor"/>
      </rPr>
      <t>x Sin</t>
    </r>
    <r>
      <rPr>
        <sz val="11"/>
        <color rgb="FF000000"/>
        <rFont val="Calibri"/>
        <family val="2"/>
        <charset val="204"/>
      </rPr>
      <t>(</t>
    </r>
    <r>
      <rPr>
        <sz val="11"/>
        <color rgb="FF000000"/>
        <rFont val="Symbol"/>
        <family val="1"/>
        <charset val="2"/>
      </rPr>
      <t>a</t>
    </r>
    <r>
      <rPr>
        <sz val="11"/>
        <color rgb="FF000000"/>
        <rFont val="Calibri"/>
        <family val="2"/>
        <charset val="204"/>
      </rPr>
      <t>-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) x [1+ (((Sin(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) x (Sin(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-</t>
    </r>
    <r>
      <rPr>
        <sz val="11"/>
        <color rgb="FF000000"/>
        <rFont val="Symbol"/>
        <family val="1"/>
        <charset val="2"/>
      </rPr>
      <t>b))/((</t>
    </r>
    <r>
      <rPr>
        <sz val="11"/>
        <color rgb="FF000000"/>
        <rFont val="Calibri"/>
        <family val="2"/>
        <scheme val="minor"/>
      </rPr>
      <t>Sin</t>
    </r>
    <r>
      <rPr>
        <sz val="11"/>
        <color rgb="FF000000"/>
        <rFont val="Symbol"/>
        <family val="1"/>
        <charset val="2"/>
      </rPr>
      <t>(a-d)</t>
    </r>
    <r>
      <rPr>
        <sz val="11"/>
        <color rgb="FF000000"/>
        <rFont val="Calibri"/>
        <family val="2"/>
        <scheme val="minor"/>
      </rPr>
      <t xml:space="preserve"> x (Sin</t>
    </r>
    <r>
      <rPr>
        <sz val="11"/>
        <color rgb="FF000000"/>
        <rFont val="Symbol"/>
        <family val="1"/>
        <charset val="2"/>
      </rPr>
      <t>(a+b)))</t>
    </r>
    <r>
      <rPr>
        <vertAlign val="superscript"/>
        <sz val="11"/>
        <color rgb="FF000000"/>
        <rFont val="Symbol"/>
        <family val="1"/>
        <charset val="2"/>
      </rPr>
      <t>0.5</t>
    </r>
    <r>
      <rPr>
        <sz val="11"/>
        <color rgb="FF000000"/>
        <rFont val="Symbol"/>
        <family val="1"/>
        <charset val="2"/>
      </rPr>
      <t>]</t>
    </r>
    <r>
      <rPr>
        <vertAlign val="superscript"/>
        <sz val="11"/>
        <color rgb="FF000000"/>
        <rFont val="Symbol"/>
        <family val="1"/>
        <charset val="2"/>
      </rPr>
      <t>2</t>
    </r>
  </si>
  <si>
    <t>Ka =</t>
  </si>
  <si>
    <r>
      <t>Ka x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 xml:space="preserve"> + 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>)</t>
    </r>
  </si>
  <si>
    <r>
      <t>Ka x Sin(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 xml:space="preserve"> + 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>)</t>
    </r>
  </si>
  <si>
    <t>Safe bearing capacity of soil</t>
  </si>
  <si>
    <t>C) Materail Density</t>
  </si>
  <si>
    <t>Unit weight of concrete</t>
  </si>
  <si>
    <t>Unit weight of water</t>
  </si>
  <si>
    <t>Vertical</t>
  </si>
  <si>
    <t>Horizontal</t>
  </si>
  <si>
    <t>Slope of wall with vertical</t>
  </si>
  <si>
    <r>
      <t>kN/m</t>
    </r>
    <r>
      <rPr>
        <vertAlign val="superscript"/>
        <sz val="11"/>
        <color rgb="FF000000"/>
        <rFont val="Calibri"/>
        <family val="2"/>
      </rPr>
      <t>3</t>
    </r>
  </si>
  <si>
    <t>Degree</t>
  </si>
  <si>
    <t>f</t>
  </si>
  <si>
    <t>d</t>
  </si>
  <si>
    <t>a</t>
  </si>
  <si>
    <t>b</t>
  </si>
  <si>
    <t>q</t>
  </si>
  <si>
    <r>
      <t>kN/m</t>
    </r>
    <r>
      <rPr>
        <vertAlign val="superscript"/>
        <sz val="11"/>
        <color rgb="FF000000"/>
        <rFont val="Calibri"/>
        <family val="2"/>
      </rPr>
      <t>2</t>
    </r>
  </si>
  <si>
    <t>Wall Slope :-</t>
  </si>
  <si>
    <t>Cos(angle) =</t>
  </si>
  <si>
    <t xml:space="preserve">Angle (w) = </t>
  </si>
  <si>
    <t>Sin (angle) =</t>
  </si>
  <si>
    <t>Force (kN/m)</t>
  </si>
  <si>
    <t>Vertical earth component</t>
  </si>
  <si>
    <r>
      <t>P1 = K</t>
    </r>
    <r>
      <rPr>
        <vertAlign val="subscript"/>
        <sz val="11"/>
        <color rgb="FF000000"/>
        <rFont val="Calibri"/>
        <family val="2"/>
      </rPr>
      <t>a</t>
    </r>
    <r>
      <rPr>
        <sz val="11"/>
        <color rgb="FF000000"/>
        <rFont val="Calibri"/>
        <family val="2"/>
        <charset val="204"/>
      </rPr>
      <t xml:space="preserve">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 xml:space="preserve">) x </t>
    </r>
    <r>
      <rPr>
        <sz val="11"/>
        <color rgb="FF000000"/>
        <rFont val="Symbol"/>
        <family val="1"/>
        <charset val="2"/>
      </rPr>
      <t>g</t>
    </r>
    <r>
      <rPr>
        <vertAlign val="subscript"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charset val="204"/>
      </rPr>
      <t xml:space="preserve"> x q</t>
    </r>
  </si>
  <si>
    <t>kN</t>
  </si>
  <si>
    <t>Total vertical forces</t>
  </si>
  <si>
    <t>Total horizontal forces</t>
  </si>
  <si>
    <t>Lever Arm (m)</t>
  </si>
  <si>
    <t>Moment (kN.m)</t>
  </si>
  <si>
    <t>S H</t>
  </si>
  <si>
    <t xml:space="preserve">Check for Stabilty : Overturning (with backfill)
</t>
  </si>
  <si>
    <r>
      <t>Resisting (M</t>
    </r>
    <r>
      <rPr>
        <vertAlign val="subscript"/>
        <sz val="11"/>
        <color rgb="FF000000"/>
        <rFont val="Calibri"/>
        <family val="2"/>
      </rPr>
      <t>R</t>
    </r>
    <r>
      <rPr>
        <sz val="11"/>
        <color rgb="FF000000"/>
        <rFont val="Calibri"/>
        <family val="2"/>
        <charset val="204"/>
      </rPr>
      <t>)</t>
    </r>
  </si>
  <si>
    <r>
      <t>Overturning (M</t>
    </r>
    <r>
      <rPr>
        <vertAlign val="subscript"/>
        <sz val="11"/>
        <color rgb="FF000000"/>
        <rFont val="Calibri"/>
        <family val="2"/>
      </rPr>
      <t>o</t>
    </r>
    <r>
      <rPr>
        <sz val="11"/>
        <color rgb="FF000000"/>
        <rFont val="Calibri"/>
        <family val="2"/>
        <charset val="204"/>
      </rPr>
      <t>)</t>
    </r>
  </si>
  <si>
    <r>
      <t>M</t>
    </r>
    <r>
      <rPr>
        <b/>
        <vertAlign val="subscript"/>
        <sz val="11"/>
        <color rgb="FF000000"/>
        <rFont val="Calibri"/>
        <family val="2"/>
      </rPr>
      <t xml:space="preserve">R / </t>
    </r>
    <r>
      <rPr>
        <b/>
        <sz val="11"/>
        <color rgb="FF000000"/>
        <rFont val="Calibri"/>
        <family val="2"/>
      </rPr>
      <t>M</t>
    </r>
    <r>
      <rPr>
        <b/>
        <vertAlign val="subscript"/>
        <sz val="11"/>
        <color rgb="FF000000"/>
        <rFont val="Calibri"/>
        <family val="2"/>
      </rPr>
      <t>o</t>
    </r>
  </si>
  <si>
    <t xml:space="preserve">Check for Stabilty : Sliding (with backfill) </t>
  </si>
  <si>
    <t>…..Surcharge load</t>
  </si>
  <si>
    <t>…..Earth pressure load</t>
  </si>
  <si>
    <t>Kp =</t>
  </si>
  <si>
    <r>
      <t xml:space="preserve">(1 + Sin 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 xml:space="preserve">)/(1 - Sin 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)</t>
    </r>
  </si>
  <si>
    <t>Active Earth Pressure</t>
  </si>
  <si>
    <t>Passive Earth Pressure</t>
  </si>
  <si>
    <r>
      <rPr>
        <b/>
        <sz val="11"/>
        <color rgb="FF000000"/>
        <rFont val="Symbol"/>
        <family val="1"/>
        <charset val="2"/>
      </rPr>
      <t>(m</t>
    </r>
    <r>
      <rPr>
        <b/>
        <sz val="11"/>
        <color rgb="FF000000"/>
        <rFont val="Calibri"/>
        <family val="2"/>
      </rPr>
      <t xml:space="preserve"> x S V + P3) / S H</t>
    </r>
  </si>
  <si>
    <t>Radians</t>
  </si>
  <si>
    <r>
      <t>P2 = K</t>
    </r>
    <r>
      <rPr>
        <vertAlign val="subscript"/>
        <sz val="11"/>
        <color rgb="FF000000"/>
        <rFont val="Calibri"/>
        <family val="2"/>
      </rPr>
      <t>a</t>
    </r>
    <r>
      <rPr>
        <sz val="11"/>
        <color rgb="FF000000"/>
        <rFont val="Calibri"/>
        <family val="2"/>
        <charset val="204"/>
      </rPr>
      <t xml:space="preserve">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 xml:space="preserve">) x </t>
    </r>
    <r>
      <rPr>
        <sz val="11"/>
        <color rgb="FF000000"/>
        <rFont val="Symbol"/>
        <family val="1"/>
        <charset val="2"/>
      </rPr>
      <t>g</t>
    </r>
    <r>
      <rPr>
        <vertAlign val="subscript"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charset val="204"/>
      </rPr>
      <t xml:space="preserve"> x h</t>
    </r>
    <r>
      <rPr>
        <vertAlign val="subscript"/>
        <sz val="11"/>
        <color rgb="FF000000"/>
        <rFont val="Calibri"/>
        <family val="2"/>
      </rPr>
      <t>1</t>
    </r>
  </si>
  <si>
    <t>Table 1- Self Weight, Overturning  &amp; Resisting Moment Calcaulations</t>
  </si>
  <si>
    <t>Fig. 1 - TYPICAL DETAILS OF PCC WALL WITH DRAIN AT HILL SIDE</t>
  </si>
  <si>
    <t>Vertical =</t>
  </si>
  <si>
    <t>Horizontal =</t>
  </si>
  <si>
    <t>DESIGN OF PCC WALL WITH LINED DRAIN</t>
  </si>
  <si>
    <t xml:space="preserve">Passive earth pressure Coefficient </t>
  </si>
  <si>
    <t>Location of resultant from toe</t>
  </si>
  <si>
    <r>
      <t>X</t>
    </r>
    <r>
      <rPr>
        <vertAlign val="subscript"/>
        <sz val="11"/>
        <color rgb="FF000000"/>
        <rFont val="Calibri"/>
        <family val="2"/>
      </rPr>
      <t>o</t>
    </r>
  </si>
  <si>
    <r>
      <t>(M</t>
    </r>
    <r>
      <rPr>
        <vertAlign val="subscript"/>
        <sz val="11"/>
        <color rgb="FF000000"/>
        <rFont val="Calibri"/>
        <family val="2"/>
      </rPr>
      <t xml:space="preserve">R </t>
    </r>
    <r>
      <rPr>
        <sz val="11"/>
        <color rgb="FF000000"/>
        <rFont val="Calibri"/>
        <family val="2"/>
        <charset val="204"/>
      </rPr>
      <t>- M</t>
    </r>
    <r>
      <rPr>
        <vertAlign val="subscript"/>
        <sz val="11"/>
        <color rgb="FF000000"/>
        <rFont val="Calibri"/>
        <family val="2"/>
      </rPr>
      <t>o</t>
    </r>
    <r>
      <rPr>
        <sz val="11"/>
        <color rgb="FF000000"/>
        <rFont val="Calibri"/>
        <family val="2"/>
        <charset val="204"/>
      </rPr>
      <t>) / SV   =</t>
    </r>
  </si>
  <si>
    <r>
      <t>B/2 - X</t>
    </r>
    <r>
      <rPr>
        <vertAlign val="subscript"/>
        <sz val="11"/>
        <color rgb="FF000000"/>
        <rFont val="Calibri"/>
        <family val="2"/>
      </rPr>
      <t xml:space="preserve">o   </t>
    </r>
    <r>
      <rPr>
        <sz val="11"/>
        <color rgb="FF000000"/>
        <rFont val="Calibri"/>
        <family val="2"/>
      </rPr>
      <t xml:space="preserve"> =</t>
    </r>
  </si>
  <si>
    <t>m &lt; B/6</t>
  </si>
  <si>
    <t>Vertical load</t>
  </si>
  <si>
    <t>SV</t>
  </si>
  <si>
    <t>Moment at centre of base</t>
  </si>
  <si>
    <r>
      <t>M</t>
    </r>
    <r>
      <rPr>
        <vertAlign val="subscript"/>
        <sz val="11"/>
        <color rgb="FF000000"/>
        <rFont val="Calibri"/>
        <family val="2"/>
      </rPr>
      <t>L</t>
    </r>
  </si>
  <si>
    <t>kN.m</t>
  </si>
  <si>
    <t xml:space="preserve">Length of base </t>
  </si>
  <si>
    <t>B</t>
  </si>
  <si>
    <t>Plan Area</t>
  </si>
  <si>
    <r>
      <t>m</t>
    </r>
    <r>
      <rPr>
        <vertAlign val="superscript"/>
        <sz val="11"/>
        <color rgb="FF000000"/>
        <rFont val="Calibri"/>
        <family val="2"/>
      </rPr>
      <t>2</t>
    </r>
  </si>
  <si>
    <r>
      <t>Z</t>
    </r>
    <r>
      <rPr>
        <vertAlign val="subscript"/>
        <sz val="11"/>
        <color rgb="FF000000"/>
        <rFont val="Calibri"/>
        <family val="2"/>
      </rPr>
      <t>L</t>
    </r>
  </si>
  <si>
    <r>
      <t>m</t>
    </r>
    <r>
      <rPr>
        <vertAlign val="superscript"/>
        <sz val="11"/>
        <color rgb="FF000000"/>
        <rFont val="Calibri"/>
        <family val="2"/>
      </rPr>
      <t>3</t>
    </r>
  </si>
  <si>
    <t>Maximum Base Pressure</t>
  </si>
  <si>
    <t>Minimum Base Pressure</t>
  </si>
  <si>
    <r>
      <t>S</t>
    </r>
    <r>
      <rPr>
        <vertAlign val="subscript"/>
        <sz val="11"/>
        <color rgb="FF000000"/>
        <rFont val="Calibri"/>
        <family val="2"/>
      </rPr>
      <t>max</t>
    </r>
  </si>
  <si>
    <r>
      <t>S</t>
    </r>
    <r>
      <rPr>
        <vertAlign val="subscript"/>
        <sz val="11"/>
        <color rgb="FF000000"/>
        <rFont val="Calibri"/>
        <family val="2"/>
      </rPr>
      <t>min</t>
    </r>
  </si>
  <si>
    <t>Top level of wall</t>
  </si>
  <si>
    <t>Wall</t>
  </si>
  <si>
    <t>Slope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</si>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</sst>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Symbol"/>
      <family val="1"/>
      <charset val="2"/>
    </font>
    <font>
      <vertAlign val="superscript"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Symbol"/>
      <family val="1"/>
      <charset val="2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vertAlign val="subscript"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rgb="FF000000"/>
      <name val="Symbol"/>
      <family val="1"/>
      <charset val="2"/>
    </font>
    <font>
      <b/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3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/>
    <xf numFmtId="164" fontId="0" fillId="0" borderId="0" xfId="0" applyNumberFormat="1" applyProtection="1">
      <protection hidden="1"/>
    </xf>
    <xf numFmtId="0" fontId="0" fillId="0" borderId="0" xfId="0" applyProtection="1">
      <protection hidden="1"/>
    </xf>
    <xf numFmtId="2" fontId="0" fillId="0" borderId="0" xfId="0" applyNumberFormat="1" applyProtection="1">
      <protection hidden="1"/>
    </xf>
    <xf numFmtId="0" fontId="7" fillId="4" borderId="0" xfId="0" applyFont="1" applyFill="1" applyProtection="1">
      <protection hidden="1"/>
    </xf>
    <xf numFmtId="2" fontId="0" fillId="0" borderId="0" xfId="0" applyNumberFormat="1" applyAlignment="1" applyProtection="1">
      <alignment horizontal="center"/>
      <protection hidden="1"/>
    </xf>
    <xf numFmtId="2" fontId="0" fillId="0" borderId="3" xfId="0" applyNumberForma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165" fontId="6" fillId="0" borderId="0" xfId="0" applyNumberFormat="1" applyFont="1" applyProtection="1">
      <protection hidden="1"/>
    </xf>
    <xf numFmtId="0" fontId="5" fillId="3" borderId="0" xfId="0" applyFont="1" applyFill="1" applyProtection="1"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7" fillId="3" borderId="0" xfId="0" applyFont="1" applyFill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2" fontId="5" fillId="3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0" fillId="0" borderId="0" xfId="0" applyFont="1" applyAlignment="1" applyProtection="1">
      <protection locked="0"/>
    </xf>
    <xf numFmtId="0" fontId="7" fillId="3" borderId="0" xfId="0" applyFont="1" applyFill="1" applyAlignment="1" applyProtection="1">
      <alignment horizontal="right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2" fontId="0" fillId="0" borderId="3" xfId="0" applyNumberForma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Protection="1">
      <protection locked="0"/>
    </xf>
    <xf numFmtId="0" fontId="10" fillId="0" borderId="7" xfId="0" applyFont="1" applyBorder="1" applyProtection="1">
      <protection locked="0"/>
    </xf>
    <xf numFmtId="0" fontId="10" fillId="0" borderId="8" xfId="0" applyFont="1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5" fillId="2" borderId="0" xfId="0" applyFont="1" applyFill="1" applyProtection="1">
      <protection hidden="1"/>
    </xf>
    <xf numFmtId="164" fontId="0" fillId="0" borderId="3" xfId="0" applyNumberFormat="1" applyBorder="1" applyAlignment="1" applyProtection="1">
      <alignment horizontal="center"/>
      <protection hidden="1"/>
    </xf>
    <xf numFmtId="164" fontId="0" fillId="0" borderId="0" xfId="0" applyNumberFormat="1" applyAlignment="1" applyProtection="1">
      <alignment horizontal="left"/>
      <protection hidden="1"/>
    </xf>
    <xf numFmtId="2" fontId="17" fillId="0" borderId="0" xfId="0" applyNumberFormat="1" applyFont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10" fillId="0" borderId="0" xfId="0" applyFont="1" applyProtection="1">
      <protection hidden="1"/>
    </xf>
    <xf numFmtId="164" fontId="0" fillId="0" borderId="0" xfId="0" applyNumberFormat="1" applyAlignment="1" applyProtection="1">
      <alignment horizontal="center"/>
      <protection hidden="1"/>
    </xf>
    <xf numFmtId="1" fontId="18" fillId="0" borderId="0" xfId="0" applyNumberFormat="1" applyFont="1" applyAlignment="1" applyProtection="1">
      <alignment horizontal="right"/>
      <protection hidden="1"/>
    </xf>
    <xf numFmtId="0" fontId="17" fillId="0" borderId="0" xfId="0" applyFont="1" applyAlignment="1" applyProtection="1">
      <alignment horizontal="left"/>
      <protection hidden="1"/>
    </xf>
    <xf numFmtId="1" fontId="17" fillId="0" borderId="0" xfId="0" applyNumberFormat="1" applyFont="1" applyAlignment="1" applyProtection="1">
      <alignment horizontal="left"/>
      <protection hidden="1"/>
    </xf>
    <xf numFmtId="2" fontId="10" fillId="0" borderId="3" xfId="0" applyNumberFormat="1" applyFont="1" applyBorder="1" applyAlignment="1" applyProtection="1">
      <alignment horizontal="center" vertical="center"/>
      <protection hidden="1"/>
    </xf>
    <xf numFmtId="2" fontId="10" fillId="0" borderId="3" xfId="0" applyNumberFormat="1" applyFont="1" applyBorder="1" applyAlignment="1" applyProtection="1">
      <alignment horizontal="center"/>
      <protection hidden="1"/>
    </xf>
    <xf numFmtId="0" fontId="21" fillId="0" borderId="0" xfId="0" applyFont="1" applyAlignment="1">
      <alignment horizontal="center" wrapText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2" fontId="0" fillId="0" borderId="4" xfId="0" applyNumberFormat="1" applyBorder="1" applyAlignment="1" applyProtection="1">
      <alignment horizontal="center"/>
      <protection hidden="1"/>
    </xf>
    <xf numFmtId="2" fontId="0" fillId="0" borderId="5" xfId="0" applyNumberFormat="1" applyBorder="1" applyAlignment="1" applyProtection="1">
      <alignment horizontal="center"/>
      <protection hidden="1"/>
    </xf>
    <xf numFmtId="2" fontId="0" fillId="0" borderId="6" xfId="0" applyNumberFormat="1" applyBorder="1" applyAlignment="1" applyProtection="1">
      <alignment horizontal="center"/>
      <protection hidden="1"/>
    </xf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6" xfId="0" applyFont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14941</xdr:colOff>
      <xdr:row>52</xdr:row>
      <xdr:rowOff>52294</xdr:rowOff>
    </xdr:from>
    <xdr:to>
      <xdr:col>5</xdr:col>
      <xdr:colOff>298806</xdr:colOff>
      <xdr:row>66</xdr:row>
      <xdr:rowOff>164000</xdr:rowOff>
    </xdr:to>
    <xdr:grpSp>
      <xdr:nvGrpSpPr>
        <xdr:cNvPr id="12" name="Group 11"/>
        <xdr:cNvGrpSpPr/>
      </xdr:nvGrpSpPr>
      <xdr:grpSpPr>
        <a:xfrm>
          <a:off x="14941" y="9935882"/>
          <a:ext cx="3346806" cy="2748824"/>
          <a:chOff x="14941" y="9935882"/>
          <a:chExt cx="3346806" cy="2748824"/>
        </a:xfrm>
      </xdr:grpSpPr>
      <xdr:grpSp>
        <xdr:nvGrpSpPr>
          <xdr:cNvPr id="7" name="Group 6"/>
          <xdr:cNvGrpSpPr/>
        </xdr:nvGrpSpPr>
        <xdr:grpSpPr>
          <a:xfrm>
            <a:off x="14941" y="9935882"/>
            <a:ext cx="3346806" cy="2748824"/>
            <a:chOff x="14941" y="9935882"/>
            <a:chExt cx="3346806" cy="2748824"/>
          </a:xfrm>
        </xdr:grpSpPr>
        <xdr:grpSp>
          <xdr:nvGrpSpPr>
            <xdr:cNvPr id="62" name="Group 61"/>
            <xdr:cNvGrpSpPr/>
          </xdr:nvGrpSpPr>
          <xdr:grpSpPr>
            <a:xfrm>
              <a:off x="582683" y="10287000"/>
              <a:ext cx="2779064" cy="2397706"/>
              <a:chOff x="634995" y="12670118"/>
              <a:chExt cx="2779064" cy="2420117"/>
            </a:xfrm>
          </xdr:grpSpPr>
          <xdr:grpSp>
            <xdr:nvGrpSpPr>
              <xdr:cNvPr id="45" name="Group 44"/>
              <xdr:cNvGrpSpPr/>
            </xdr:nvGrpSpPr>
            <xdr:grpSpPr>
              <a:xfrm>
                <a:off x="689167" y="12760886"/>
                <a:ext cx="2670603" cy="2272537"/>
                <a:chOff x="6381750" y="13563600"/>
                <a:chExt cx="2658650" cy="2218750"/>
              </a:xfrm>
            </xdr:grpSpPr>
            <xdr:cxnSp macro="">
              <xdr:nvCxnSpPr>
                <xdr:cNvPr id="32" name="Straight Connector 31"/>
                <xdr:cNvCxnSpPr/>
              </xdr:nvCxnSpPr>
              <xdr:spPr>
                <a:xfrm>
                  <a:off x="6381750" y="13684250"/>
                  <a:ext cx="1244600" cy="20955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3" name="Straight Connector 32"/>
                <xdr:cNvCxnSpPr/>
              </xdr:nvCxnSpPr>
              <xdr:spPr>
                <a:xfrm>
                  <a:off x="6597650" y="13563600"/>
                  <a:ext cx="1162050" cy="19685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5" name="Straight Connector 34"/>
                <xdr:cNvCxnSpPr/>
              </xdr:nvCxnSpPr>
              <xdr:spPr>
                <a:xfrm>
                  <a:off x="7626350" y="15779750"/>
                  <a:ext cx="1404000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6" name="Straight Connector 35"/>
                <xdr:cNvCxnSpPr/>
              </xdr:nvCxnSpPr>
              <xdr:spPr>
                <a:xfrm>
                  <a:off x="7747000" y="15525750"/>
                  <a:ext cx="1044000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8" name="Straight Connector 37"/>
                <xdr:cNvCxnSpPr/>
              </xdr:nvCxnSpPr>
              <xdr:spPr>
                <a:xfrm flipH="1" flipV="1">
                  <a:off x="9029700" y="14738350"/>
                  <a:ext cx="0" cy="10440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1" name="Straight Connector 40"/>
                <xdr:cNvCxnSpPr/>
              </xdr:nvCxnSpPr>
              <xdr:spPr>
                <a:xfrm flipH="1" flipV="1">
                  <a:off x="8801100" y="14744700"/>
                  <a:ext cx="0" cy="7920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2" name="Straight Connector 41"/>
                <xdr:cNvCxnSpPr/>
              </xdr:nvCxnSpPr>
              <xdr:spPr>
                <a:xfrm>
                  <a:off x="8788400" y="14738350"/>
                  <a:ext cx="252000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3" name="Straight Connector 42"/>
                <xdr:cNvCxnSpPr/>
              </xdr:nvCxnSpPr>
              <xdr:spPr>
                <a:xfrm flipV="1">
                  <a:off x="6381750" y="13569950"/>
                  <a:ext cx="222250" cy="10795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61" name="Group 60"/>
              <xdr:cNvGrpSpPr/>
            </xdr:nvGrpSpPr>
            <xdr:grpSpPr>
              <a:xfrm>
                <a:off x="634995" y="12670118"/>
                <a:ext cx="2779064" cy="2420117"/>
                <a:chOff x="5617877" y="13626353"/>
                <a:chExt cx="2779064" cy="2397706"/>
              </a:xfrm>
            </xdr:grpSpPr>
            <xdr:cxnSp macro="">
              <xdr:nvCxnSpPr>
                <xdr:cNvPr id="49" name="Straight Arrow Connector 48"/>
                <xdr:cNvCxnSpPr/>
              </xdr:nvCxnSpPr>
              <xdr:spPr>
                <a:xfrm flipV="1">
                  <a:off x="5617877" y="13626353"/>
                  <a:ext cx="261471" cy="149412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1" name="Straight Arrow Connector 50"/>
                <xdr:cNvCxnSpPr/>
              </xdr:nvCxnSpPr>
              <xdr:spPr>
                <a:xfrm flipV="1">
                  <a:off x="8090638" y="14829121"/>
                  <a:ext cx="252000" cy="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2" name="Straight Arrow Connector 51"/>
                <xdr:cNvCxnSpPr/>
              </xdr:nvCxnSpPr>
              <xdr:spPr>
                <a:xfrm flipH="1">
                  <a:off x="8396941" y="14911293"/>
                  <a:ext cx="0" cy="75600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4" name="Straight Arrow Connector 53"/>
                <xdr:cNvCxnSpPr/>
              </xdr:nvCxnSpPr>
              <xdr:spPr>
                <a:xfrm flipH="1">
                  <a:off x="8396935" y="15680766"/>
                  <a:ext cx="0" cy="28800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5" name="Straight Arrow Connector 54"/>
                <xdr:cNvCxnSpPr/>
              </xdr:nvCxnSpPr>
              <xdr:spPr>
                <a:xfrm flipV="1">
                  <a:off x="7074650" y="15643419"/>
                  <a:ext cx="972000" cy="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6" name="Straight Arrow Connector 55"/>
                <xdr:cNvCxnSpPr/>
              </xdr:nvCxnSpPr>
              <xdr:spPr>
                <a:xfrm flipH="1">
                  <a:off x="5655234" y="13828059"/>
                  <a:ext cx="0" cy="219600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7" name="Straight Arrow Connector 56"/>
                <xdr:cNvCxnSpPr/>
              </xdr:nvCxnSpPr>
              <xdr:spPr>
                <a:xfrm flipV="1">
                  <a:off x="5625349" y="15994530"/>
                  <a:ext cx="1260000" cy="0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8" name="Straight Arrow Connector 57"/>
                <xdr:cNvCxnSpPr/>
              </xdr:nvCxnSpPr>
              <xdr:spPr>
                <a:xfrm>
                  <a:off x="5946577" y="13693588"/>
                  <a:ext cx="1150471" cy="1949824"/>
                </a:xfrm>
                <a:prstGeom prst="straightConnector1">
                  <a:avLst/>
                </a:prstGeom>
                <a:ln>
                  <a:headEnd type="triangle"/>
                  <a:tailEnd type="triangle"/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</xdr:grpSp>
        <xdr:cxnSp macro="">
          <xdr:nvCxnSpPr>
            <xdr:cNvPr id="3" name="Straight Connector 2"/>
            <xdr:cNvCxnSpPr/>
          </xdr:nvCxnSpPr>
          <xdr:spPr>
            <a:xfrm flipH="1" flipV="1">
              <a:off x="14941" y="9935882"/>
              <a:ext cx="814294" cy="448236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" name="Straight Arrow Connector 4"/>
            <xdr:cNvCxnSpPr/>
          </xdr:nvCxnSpPr>
          <xdr:spPr>
            <a:xfrm flipH="1">
              <a:off x="246529" y="9958294"/>
              <a:ext cx="366059" cy="14194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7" name="Straight Arrow Connector 26"/>
          <xdr:cNvCxnSpPr/>
        </xdr:nvCxnSpPr>
        <xdr:spPr>
          <a:xfrm flipV="1">
            <a:off x="470647" y="11250708"/>
            <a:ext cx="582707" cy="18676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I24"/>
  <sheetViews>
    <sheetView showGridLines="0" view="pageBreakPreview" zoomScale="60" zoomScaleNormal="100" workbookViewId="0">
      <selection activeCell="E27" sqref="E27"/>
    </sheetView>
  </sheetViews>
  <sheetFormatPr defaultRowHeight="14.5" x14ac:dyDescent="0.35"/>
  <sheetData>
    <row r="9" spans="2:9" x14ac:dyDescent="0.35">
      <c r="B9" s="55" t="s">
        <v>78</v>
      </c>
      <c r="C9" s="55"/>
      <c r="D9" s="55"/>
      <c r="E9" s="55"/>
      <c r="F9" s="55"/>
      <c r="G9" s="55"/>
      <c r="H9" s="55"/>
      <c r="I9" s="55"/>
    </row>
    <row r="10" spans="2:9" x14ac:dyDescent="0.35">
      <c r="B10" s="55"/>
      <c r="C10" s="55"/>
      <c r="D10" s="55"/>
      <c r="E10" s="55"/>
      <c r="F10" s="55"/>
      <c r="G10" s="55"/>
      <c r="H10" s="55"/>
      <c r="I10" s="55"/>
    </row>
    <row r="11" spans="2:9" x14ac:dyDescent="0.35">
      <c r="B11" s="55"/>
      <c r="C11" s="55"/>
      <c r="D11" s="55"/>
      <c r="E11" s="55"/>
      <c r="F11" s="55"/>
      <c r="G11" s="55"/>
      <c r="H11" s="55"/>
      <c r="I11" s="55"/>
    </row>
    <row r="12" spans="2:9" x14ac:dyDescent="0.35">
      <c r="B12" s="55"/>
      <c r="C12" s="55"/>
      <c r="D12" s="55"/>
      <c r="E12" s="55"/>
      <c r="F12" s="55"/>
      <c r="G12" s="55"/>
      <c r="H12" s="55"/>
      <c r="I12" s="55"/>
    </row>
    <row r="13" spans="2:9" x14ac:dyDescent="0.35">
      <c r="B13" s="55"/>
      <c r="C13" s="55"/>
      <c r="D13" s="55"/>
      <c r="E13" s="55"/>
      <c r="F13" s="55"/>
      <c r="G13" s="55"/>
      <c r="H13" s="55"/>
      <c r="I13" s="55"/>
    </row>
    <row r="14" spans="2:9" x14ac:dyDescent="0.35">
      <c r="B14" s="55"/>
      <c r="C14" s="55"/>
      <c r="D14" s="55"/>
      <c r="E14" s="55"/>
      <c r="F14" s="55"/>
      <c r="G14" s="55"/>
      <c r="H14" s="55"/>
      <c r="I14" s="55"/>
    </row>
    <row r="15" spans="2:9" x14ac:dyDescent="0.35">
      <c r="B15" s="55"/>
      <c r="C15" s="55"/>
      <c r="D15" s="55"/>
      <c r="E15" s="55"/>
      <c r="F15" s="55"/>
      <c r="G15" s="55"/>
      <c r="H15" s="55"/>
      <c r="I15" s="55"/>
    </row>
    <row r="16" spans="2:9" x14ac:dyDescent="0.35">
      <c r="B16" s="55"/>
      <c r="C16" s="55"/>
      <c r="D16" s="55"/>
      <c r="E16" s="55"/>
      <c r="F16" s="55"/>
      <c r="G16" s="55"/>
      <c r="H16" s="55"/>
      <c r="I16" s="55"/>
    </row>
    <row r="17" spans="2:9" x14ac:dyDescent="0.35">
      <c r="B17" s="55"/>
      <c r="C17" s="55"/>
      <c r="D17" s="55"/>
      <c r="E17" s="55"/>
      <c r="F17" s="55"/>
      <c r="G17" s="55"/>
      <c r="H17" s="55"/>
      <c r="I17" s="55"/>
    </row>
    <row r="18" spans="2:9" x14ac:dyDescent="0.35">
      <c r="B18" s="55"/>
      <c r="C18" s="55"/>
      <c r="D18" s="55"/>
      <c r="E18" s="55"/>
      <c r="F18" s="55"/>
      <c r="G18" s="55"/>
      <c r="H18" s="55"/>
      <c r="I18" s="55"/>
    </row>
    <row r="19" spans="2:9" x14ac:dyDescent="0.35">
      <c r="B19" s="55"/>
      <c r="C19" s="55"/>
      <c r="D19" s="55"/>
      <c r="E19" s="55"/>
      <c r="F19" s="55"/>
      <c r="G19" s="55"/>
      <c r="H19" s="55"/>
      <c r="I19" s="55"/>
    </row>
    <row r="20" spans="2:9" x14ac:dyDescent="0.35">
      <c r="B20" s="55"/>
      <c r="C20" s="55"/>
      <c r="D20" s="55"/>
      <c r="E20" s="55"/>
      <c r="F20" s="55"/>
      <c r="G20" s="55"/>
      <c r="H20" s="55"/>
      <c r="I20" s="55"/>
    </row>
    <row r="21" spans="2:9" x14ac:dyDescent="0.35">
      <c r="B21" s="55"/>
      <c r="C21" s="55"/>
      <c r="D21" s="55"/>
      <c r="E21" s="55"/>
      <c r="F21" s="55"/>
      <c r="G21" s="55"/>
      <c r="H21" s="55"/>
      <c r="I21" s="55"/>
    </row>
    <row r="22" spans="2:9" x14ac:dyDescent="0.35">
      <c r="B22" s="55"/>
      <c r="C22" s="55"/>
      <c r="D22" s="55"/>
      <c r="E22" s="55"/>
      <c r="F22" s="55"/>
      <c r="G22" s="55"/>
      <c r="H22" s="55"/>
      <c r="I22" s="55"/>
    </row>
    <row r="23" spans="2:9" x14ac:dyDescent="0.35">
      <c r="B23" s="55"/>
      <c r="C23" s="55"/>
      <c r="D23" s="55"/>
      <c r="E23" s="55"/>
      <c r="F23" s="55"/>
      <c r="G23" s="55"/>
      <c r="H23" s="55"/>
      <c r="I23" s="55"/>
    </row>
    <row r="24" spans="2:9" x14ac:dyDescent="0.35">
      <c r="B24" s="55"/>
      <c r="C24" s="55"/>
      <c r="D24" s="55"/>
      <c r="E24" s="55"/>
      <c r="F24" s="55"/>
      <c r="G24" s="55"/>
      <c r="H24" s="55"/>
      <c r="I24" s="55"/>
    </row>
  </sheetData>
  <mergeCells count="1">
    <mergeCell ref="B9:I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6"/>
  <sheetViews>
    <sheetView showGridLines="0" tabSelected="1" view="pageBreakPreview" zoomScale="85" zoomScaleNormal="100" zoomScaleSheetLayoutView="85" workbookViewId="0">
      <selection activeCell="J20" sqref="J20"/>
    </sheetView>
  </sheetViews>
  <sheetFormatPr defaultRowHeight="14.5" x14ac:dyDescent="0.35"/>
  <cols>
    <col min="1" max="16384" width="8.7265625" style="1"/>
  </cols>
  <sheetData>
    <row r="1" spans="1:10" ht="21" x14ac:dyDescent="0.5">
      <c r="A1" s="66" t="s">
        <v>78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x14ac:dyDescent="0.35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35">
      <c r="A3" s="16" t="s">
        <v>11</v>
      </c>
      <c r="B3" s="15"/>
      <c r="C3" s="15"/>
      <c r="D3" s="15"/>
      <c r="E3" s="15"/>
      <c r="F3" s="15"/>
      <c r="G3" s="17"/>
      <c r="H3" s="15"/>
      <c r="I3" s="15"/>
      <c r="J3" s="15"/>
    </row>
    <row r="4" spans="1:10" x14ac:dyDescent="0.35">
      <c r="A4" s="15" t="s">
        <v>100</v>
      </c>
      <c r="B4" s="15"/>
      <c r="C4" s="15"/>
      <c r="D4" s="15"/>
      <c r="E4" s="15"/>
      <c r="F4" s="15"/>
      <c r="G4" s="17" t="s">
        <v>1</v>
      </c>
      <c r="H4" s="10">
        <v>1.5</v>
      </c>
      <c r="I4" s="15" t="s">
        <v>5</v>
      </c>
      <c r="J4" s="15"/>
    </row>
    <row r="5" spans="1:10" x14ac:dyDescent="0.35">
      <c r="A5" s="15" t="s">
        <v>12</v>
      </c>
      <c r="B5" s="15"/>
      <c r="C5" s="15"/>
      <c r="D5" s="15"/>
      <c r="E5" s="15"/>
      <c r="F5" s="15"/>
      <c r="G5" s="17" t="s">
        <v>1</v>
      </c>
      <c r="H5" s="8">
        <f>(F63+F66)/1000</f>
        <v>0.53</v>
      </c>
      <c r="I5" s="15" t="s">
        <v>5</v>
      </c>
      <c r="J5" s="15"/>
    </row>
    <row r="6" spans="1:10" x14ac:dyDescent="0.35">
      <c r="A6" s="15" t="s">
        <v>13</v>
      </c>
      <c r="B6" s="15"/>
      <c r="C6" s="15"/>
      <c r="D6" s="15"/>
      <c r="E6" s="15"/>
      <c r="F6" s="15"/>
      <c r="G6" s="17" t="s">
        <v>1</v>
      </c>
      <c r="H6" s="3">
        <f>H4</f>
        <v>1.5</v>
      </c>
      <c r="I6" s="15" t="s">
        <v>5</v>
      </c>
      <c r="J6" s="15"/>
    </row>
    <row r="7" spans="1:10" hidden="1" x14ac:dyDescent="0.35">
      <c r="A7" s="15" t="s">
        <v>14</v>
      </c>
      <c r="B7" s="15"/>
      <c r="C7" s="15"/>
      <c r="D7" s="15"/>
      <c r="E7" s="15"/>
      <c r="F7" s="15"/>
      <c r="G7" s="17" t="s">
        <v>1</v>
      </c>
      <c r="H7" s="42">
        <f>(H6-H8)*0+H4</f>
        <v>1.5</v>
      </c>
      <c r="I7" s="15" t="s">
        <v>5</v>
      </c>
      <c r="J7" s="15"/>
    </row>
    <row r="8" spans="1:10" x14ac:dyDescent="0.35">
      <c r="A8" s="15" t="s">
        <v>15</v>
      </c>
      <c r="B8" s="15"/>
      <c r="C8" s="15"/>
      <c r="D8" s="15"/>
      <c r="E8" s="15"/>
      <c r="F8" s="15"/>
      <c r="G8" s="17" t="s">
        <v>1</v>
      </c>
      <c r="H8" s="8">
        <f>H5</f>
        <v>0.53</v>
      </c>
      <c r="I8" s="15" t="s">
        <v>5</v>
      </c>
      <c r="J8" s="15"/>
    </row>
    <row r="9" spans="1:10" x14ac:dyDescent="0.35">
      <c r="A9" s="15" t="s">
        <v>16</v>
      </c>
      <c r="B9" s="15"/>
      <c r="C9" s="15"/>
      <c r="D9" s="15"/>
      <c r="E9" s="15"/>
      <c r="F9" s="15"/>
      <c r="G9" s="17" t="s">
        <v>1</v>
      </c>
      <c r="H9" s="10">
        <v>0.5</v>
      </c>
      <c r="I9" s="15"/>
      <c r="J9" s="15"/>
    </row>
    <row r="10" spans="1:10" ht="16.5" x14ac:dyDescent="0.35">
      <c r="A10" s="15" t="s">
        <v>32</v>
      </c>
      <c r="B10" s="15"/>
      <c r="C10" s="15"/>
      <c r="D10" s="15"/>
      <c r="E10" s="15"/>
      <c r="F10" s="15"/>
      <c r="G10" s="17" t="s">
        <v>1</v>
      </c>
      <c r="H10" s="13">
        <v>30</v>
      </c>
      <c r="I10" s="15" t="s">
        <v>46</v>
      </c>
      <c r="J10" s="5" t="str">
        <f>IF(AND(G95="OK",G96="OK"),"OK","NOT OK")</f>
        <v>OK</v>
      </c>
    </row>
    <row r="11" spans="1:10" x14ac:dyDescent="0.35">
      <c r="A11" s="15"/>
      <c r="B11" s="15"/>
      <c r="C11" s="15"/>
      <c r="D11" s="15"/>
      <c r="E11" s="15"/>
      <c r="F11" s="15"/>
      <c r="G11" s="17" t="s">
        <v>1</v>
      </c>
      <c r="H11" s="15"/>
      <c r="I11" s="15"/>
      <c r="J11" s="15"/>
    </row>
    <row r="12" spans="1:10" x14ac:dyDescent="0.35">
      <c r="A12" s="16" t="s">
        <v>17</v>
      </c>
      <c r="B12" s="15"/>
      <c r="C12" s="15"/>
      <c r="D12" s="15"/>
      <c r="E12" s="15"/>
      <c r="F12" s="15"/>
      <c r="G12" s="17"/>
      <c r="H12" s="15"/>
      <c r="I12" s="15"/>
      <c r="J12" s="15"/>
    </row>
    <row r="13" spans="1:10" x14ac:dyDescent="0.35">
      <c r="A13" s="15" t="s">
        <v>18</v>
      </c>
      <c r="B13" s="15"/>
      <c r="C13" s="15"/>
      <c r="D13" s="15"/>
      <c r="E13" s="15"/>
      <c r="F13" s="18" t="s">
        <v>36</v>
      </c>
      <c r="G13" s="17" t="s">
        <v>1</v>
      </c>
      <c r="H13" s="10">
        <v>1</v>
      </c>
      <c r="I13" s="15"/>
      <c r="J13" s="15"/>
    </row>
    <row r="14" spans="1:10" x14ac:dyDescent="0.35">
      <c r="A14" s="15"/>
      <c r="B14" s="15"/>
      <c r="C14" s="15"/>
      <c r="D14" s="15"/>
      <c r="E14" s="15"/>
      <c r="F14" s="18" t="s">
        <v>37</v>
      </c>
      <c r="G14" s="17" t="s">
        <v>1</v>
      </c>
      <c r="H14" s="10">
        <v>2</v>
      </c>
      <c r="I14" s="15"/>
      <c r="J14" s="15"/>
    </row>
    <row r="15" spans="1:10" x14ac:dyDescent="0.35">
      <c r="A15" s="15" t="s">
        <v>38</v>
      </c>
      <c r="B15" s="15"/>
      <c r="C15" s="15"/>
      <c r="D15" s="15"/>
      <c r="E15" s="15"/>
      <c r="F15" s="18" t="s">
        <v>36</v>
      </c>
      <c r="G15" s="17" t="s">
        <v>1</v>
      </c>
      <c r="H15" s="8">
        <f>J62</f>
        <v>15</v>
      </c>
      <c r="I15" s="15"/>
      <c r="J15" s="15"/>
    </row>
    <row r="16" spans="1:10" x14ac:dyDescent="0.35">
      <c r="A16" s="15"/>
      <c r="B16" s="15"/>
      <c r="C16" s="15"/>
      <c r="D16" s="15"/>
      <c r="E16" s="15"/>
      <c r="F16" s="18" t="s">
        <v>37</v>
      </c>
      <c r="G16" s="17" t="s">
        <v>1</v>
      </c>
      <c r="H16" s="8">
        <f>J63</f>
        <v>1</v>
      </c>
      <c r="I16" s="15"/>
      <c r="J16" s="15"/>
    </row>
    <row r="17" spans="1:10" ht="16.5" x14ac:dyDescent="0.35">
      <c r="A17" s="15" t="s">
        <v>19</v>
      </c>
      <c r="B17" s="15"/>
      <c r="C17" s="15"/>
      <c r="D17" s="15"/>
      <c r="E17" s="15"/>
      <c r="F17" s="15"/>
      <c r="G17" s="17" t="s">
        <v>1</v>
      </c>
      <c r="H17" s="10">
        <v>20</v>
      </c>
      <c r="I17" s="15" t="s">
        <v>39</v>
      </c>
      <c r="J17" s="15"/>
    </row>
    <row r="18" spans="1:10" ht="16.5" x14ac:dyDescent="0.35">
      <c r="A18" s="15" t="s">
        <v>20</v>
      </c>
      <c r="B18" s="15"/>
      <c r="C18" s="15"/>
      <c r="D18" s="15"/>
      <c r="E18" s="15"/>
      <c r="F18" s="15"/>
      <c r="G18" s="17" t="s">
        <v>1</v>
      </c>
      <c r="H18" s="10">
        <v>20</v>
      </c>
      <c r="I18" s="15" t="s">
        <v>39</v>
      </c>
      <c r="J18" s="15"/>
    </row>
    <row r="19" spans="1:10" ht="16.5" x14ac:dyDescent="0.35">
      <c r="A19" s="15" t="s">
        <v>21</v>
      </c>
      <c r="B19" s="15"/>
      <c r="C19" s="15"/>
      <c r="D19" s="15"/>
      <c r="E19" s="15"/>
      <c r="F19" s="15"/>
      <c r="G19" s="17" t="s">
        <v>1</v>
      </c>
      <c r="H19" s="10" t="s">
        <v>103</v>
      </c>
      <c r="I19" s="15" t="s">
        <v>39</v>
      </c>
      <c r="J19" s="19" t="s">
        <v>72</v>
      </c>
    </row>
    <row r="20" spans="1:10" x14ac:dyDescent="0.35">
      <c r="A20" s="15" t="s">
        <v>22</v>
      </c>
      <c r="B20" s="15"/>
      <c r="C20" s="15"/>
      <c r="D20" s="15"/>
      <c r="E20" s="15"/>
      <c r="F20" s="20" t="s">
        <v>41</v>
      </c>
      <c r="G20" s="17" t="s">
        <v>1</v>
      </c>
      <c r="H20" s="10">
        <v>30</v>
      </c>
      <c r="I20" s="15" t="s">
        <v>40</v>
      </c>
      <c r="J20" s="43">
        <f>RADIANS(H20)</f>
        <v>0.52359877559829882</v>
      </c>
    </row>
    <row r="21" spans="1:10" x14ac:dyDescent="0.35">
      <c r="A21" s="15" t="s">
        <v>23</v>
      </c>
      <c r="B21" s="15"/>
      <c r="C21" s="15"/>
      <c r="D21" s="15"/>
      <c r="E21" s="15"/>
      <c r="F21" s="20" t="s">
        <v>42</v>
      </c>
      <c r="G21" s="17" t="s">
        <v>1</v>
      </c>
      <c r="H21" s="8">
        <f>MIN(2/3*H20,22.5)</f>
        <v>20</v>
      </c>
      <c r="I21" s="15" t="s">
        <v>40</v>
      </c>
      <c r="J21" s="43">
        <f t="shared" ref="J21:J22" si="0">RADIANS(H21)</f>
        <v>0.3490658503988659</v>
      </c>
    </row>
    <row r="22" spans="1:10" x14ac:dyDescent="0.35">
      <c r="A22" s="15" t="s">
        <v>24</v>
      </c>
      <c r="B22" s="15"/>
      <c r="C22" s="15"/>
      <c r="D22" s="15"/>
      <c r="E22" s="15"/>
      <c r="F22" s="20" t="s">
        <v>43</v>
      </c>
      <c r="G22" s="17" t="s">
        <v>1</v>
      </c>
      <c r="H22" s="4">
        <f>90+J65</f>
        <v>93.814074834290352</v>
      </c>
      <c r="I22" s="15" t="s">
        <v>40</v>
      </c>
      <c r="J22" s="43">
        <f t="shared" si="0"/>
        <v>1.6373644905707203</v>
      </c>
    </row>
    <row r="23" spans="1:10" x14ac:dyDescent="0.35">
      <c r="A23" s="15" t="s">
        <v>25</v>
      </c>
      <c r="B23" s="15"/>
      <c r="C23" s="15"/>
      <c r="D23" s="15"/>
      <c r="E23" s="15"/>
      <c r="F23" s="20" t="s">
        <v>44</v>
      </c>
      <c r="G23" s="17" t="s">
        <v>1</v>
      </c>
      <c r="H23" s="9">
        <f>DEGREES(ATAN((H13)/H14))</f>
        <v>26.56505117707799</v>
      </c>
      <c r="I23" s="15" t="s">
        <v>40</v>
      </c>
      <c r="J23" s="43">
        <f>RADIANS(H23)</f>
        <v>0.46364760900080609</v>
      </c>
    </row>
    <row r="24" spans="1:10" ht="16.5" x14ac:dyDescent="0.35">
      <c r="A24" s="15" t="s">
        <v>26</v>
      </c>
      <c r="B24" s="15"/>
      <c r="C24" s="15"/>
      <c r="D24" s="15"/>
      <c r="E24" s="15"/>
      <c r="F24" s="15" t="s">
        <v>45</v>
      </c>
      <c r="G24" s="17" t="s">
        <v>1</v>
      </c>
      <c r="H24" s="10">
        <f>1.2*0</f>
        <v>0</v>
      </c>
      <c r="I24" s="15" t="s">
        <v>46</v>
      </c>
      <c r="J24" s="15"/>
    </row>
    <row r="25" spans="1:10" x14ac:dyDescent="0.35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x14ac:dyDescent="0.35">
      <c r="A26" s="15" t="s">
        <v>0</v>
      </c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35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16.5" x14ac:dyDescent="0.35">
      <c r="A28" s="15" t="s">
        <v>29</v>
      </c>
      <c r="B28" s="67" t="s">
        <v>27</v>
      </c>
      <c r="C28" s="67"/>
      <c r="D28" s="67"/>
      <c r="E28" s="67"/>
      <c r="F28" s="67"/>
      <c r="G28" s="67"/>
      <c r="H28" s="67"/>
      <c r="I28" s="15" t="s">
        <v>1</v>
      </c>
      <c r="J28" s="44">
        <f>((SIN(J22+J20))^2)/((SIN(J22)^2*SIN(J22-J21)*(1+SQRT((((SIN(J20+J21)*(SIN(J20-J23))/((SIN(J22-J21)*(SIN(J22+J23)))))))))^2))</f>
        <v>0.47308653100994152</v>
      </c>
    </row>
    <row r="29" spans="1:10" ht="16.5" x14ac:dyDescent="0.35">
      <c r="A29" s="15"/>
      <c r="B29" s="15" t="s">
        <v>28</v>
      </c>
      <c r="C29" s="15"/>
      <c r="D29" s="15"/>
      <c r="E29" s="15"/>
      <c r="F29" s="15"/>
      <c r="G29" s="15"/>
      <c r="H29" s="15"/>
      <c r="I29" s="15"/>
      <c r="J29" s="15"/>
    </row>
    <row r="30" spans="1:10" x14ac:dyDescent="0.35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0" x14ac:dyDescent="0.35">
      <c r="A31" s="15" t="s">
        <v>30</v>
      </c>
      <c r="B31" s="15"/>
      <c r="C31" s="15"/>
      <c r="D31" s="15"/>
      <c r="E31" s="15"/>
      <c r="F31" s="15"/>
      <c r="G31" s="17" t="s">
        <v>1</v>
      </c>
      <c r="H31" s="2">
        <f>J28*COS(J21+J23)</f>
        <v>0.32526145383033039</v>
      </c>
      <c r="I31" s="15"/>
      <c r="J31" s="15"/>
    </row>
    <row r="32" spans="1:10" x14ac:dyDescent="0.35">
      <c r="A32" s="15" t="s">
        <v>31</v>
      </c>
      <c r="B32" s="15"/>
      <c r="C32" s="15"/>
      <c r="D32" s="15"/>
      <c r="E32" s="15"/>
      <c r="F32" s="15"/>
      <c r="G32" s="17" t="s">
        <v>1</v>
      </c>
      <c r="H32" s="2">
        <f>J28*SIN(J21+J23)</f>
        <v>0.34353435414118372</v>
      </c>
      <c r="I32" s="15"/>
      <c r="J32" s="15"/>
    </row>
    <row r="33" spans="1:10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</row>
    <row r="34" spans="1:10" x14ac:dyDescent="0.35">
      <c r="A34" s="15" t="s">
        <v>79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x14ac:dyDescent="0.35">
      <c r="A35" s="15" t="s">
        <v>67</v>
      </c>
      <c r="B35" s="15" t="s">
        <v>68</v>
      </c>
      <c r="C35" s="15"/>
      <c r="D35" s="15"/>
      <c r="E35" s="15"/>
      <c r="F35" s="15"/>
      <c r="G35" s="17" t="s">
        <v>1</v>
      </c>
      <c r="H35" s="2">
        <f>(1+SIN(J20))/(1-SIN(J20))</f>
        <v>3</v>
      </c>
      <c r="I35" s="15"/>
      <c r="J35" s="15"/>
    </row>
    <row r="36" spans="1:10" x14ac:dyDescent="0.35">
      <c r="A36" s="15"/>
      <c r="B36" s="15"/>
      <c r="C36" s="15"/>
      <c r="D36" s="15"/>
      <c r="E36" s="15"/>
      <c r="F36" s="15"/>
      <c r="G36" s="15"/>
      <c r="H36" s="15"/>
      <c r="I36" s="15"/>
      <c r="J36" s="15"/>
    </row>
    <row r="37" spans="1:10" x14ac:dyDescent="0.35">
      <c r="A37" s="16" t="s">
        <v>33</v>
      </c>
      <c r="B37" s="15"/>
      <c r="C37" s="15"/>
      <c r="D37" s="15"/>
      <c r="E37" s="15"/>
      <c r="F37" s="15"/>
      <c r="G37" s="15"/>
      <c r="H37" s="15"/>
      <c r="I37" s="15"/>
      <c r="J37" s="15"/>
    </row>
    <row r="38" spans="1:10" ht="16.5" x14ac:dyDescent="0.35">
      <c r="A38" s="15" t="s">
        <v>34</v>
      </c>
      <c r="B38" s="15"/>
      <c r="C38" s="15"/>
      <c r="D38" s="15"/>
      <c r="E38" s="15"/>
      <c r="F38" s="15"/>
      <c r="G38" s="17" t="s">
        <v>1</v>
      </c>
      <c r="H38" s="10">
        <v>25</v>
      </c>
      <c r="I38" s="15" t="s">
        <v>39</v>
      </c>
      <c r="J38" s="15"/>
    </row>
    <row r="39" spans="1:10" ht="16.5" x14ac:dyDescent="0.35">
      <c r="A39" s="15" t="s">
        <v>35</v>
      </c>
      <c r="B39" s="15"/>
      <c r="C39" s="15"/>
      <c r="D39" s="15"/>
      <c r="E39" s="15"/>
      <c r="F39" s="15"/>
      <c r="G39" s="17" t="s">
        <v>1</v>
      </c>
      <c r="H39" s="10">
        <v>10</v>
      </c>
      <c r="I39" s="15" t="s">
        <v>39</v>
      </c>
      <c r="J39" s="15"/>
    </row>
    <row r="40" spans="1:10" x14ac:dyDescent="0.35">
      <c r="A40" s="15"/>
      <c r="B40" s="18"/>
      <c r="C40" s="15"/>
      <c r="D40" s="15"/>
      <c r="E40" s="15"/>
      <c r="F40" s="15"/>
      <c r="G40" s="15"/>
      <c r="H40" s="15"/>
      <c r="I40" s="15"/>
      <c r="J40" s="15"/>
    </row>
    <row r="41" spans="1:10" x14ac:dyDescent="0.35">
      <c r="A41" s="16" t="s">
        <v>69</v>
      </c>
      <c r="B41" s="18"/>
      <c r="C41" s="15"/>
      <c r="D41" s="15"/>
      <c r="E41" s="15"/>
      <c r="F41" s="15"/>
      <c r="G41" s="15"/>
      <c r="H41" s="15"/>
      <c r="I41" s="15"/>
      <c r="J41" s="15"/>
    </row>
    <row r="42" spans="1:10" x14ac:dyDescent="0.35">
      <c r="A42" s="15"/>
      <c r="B42" s="18"/>
      <c r="C42" s="15"/>
      <c r="D42" s="15"/>
      <c r="E42" s="15"/>
      <c r="F42" s="15"/>
      <c r="G42" s="15"/>
      <c r="H42" s="15"/>
      <c r="I42" s="15"/>
      <c r="J42" s="15"/>
    </row>
    <row r="43" spans="1:10" ht="17.5" x14ac:dyDescent="0.45">
      <c r="A43" s="15" t="s">
        <v>53</v>
      </c>
      <c r="B43" s="18"/>
      <c r="C43" s="15"/>
      <c r="D43" s="22" t="s">
        <v>65</v>
      </c>
      <c r="E43" s="15"/>
      <c r="F43" s="15"/>
      <c r="G43" s="17" t="s">
        <v>1</v>
      </c>
      <c r="H43" s="4">
        <f>H31*H17*H24</f>
        <v>0</v>
      </c>
      <c r="I43" s="15" t="s">
        <v>46</v>
      </c>
      <c r="J43" s="15"/>
    </row>
    <row r="44" spans="1:10" ht="17.5" x14ac:dyDescent="0.45">
      <c r="A44" s="15" t="s">
        <v>73</v>
      </c>
      <c r="B44" s="18"/>
      <c r="C44" s="15"/>
      <c r="D44" s="22" t="s">
        <v>66</v>
      </c>
      <c r="E44" s="15"/>
      <c r="F44" s="15"/>
      <c r="G44" s="17" t="s">
        <v>1</v>
      </c>
      <c r="H44" s="4">
        <f>H31*H17*(B62)/1000</f>
        <v>9.7578436149099126</v>
      </c>
      <c r="I44" s="15" t="s">
        <v>46</v>
      </c>
      <c r="J44" s="15"/>
    </row>
    <row r="45" spans="1:10" x14ac:dyDescent="0.35">
      <c r="A45" s="15"/>
      <c r="B45" s="18"/>
      <c r="C45" s="15"/>
      <c r="D45" s="23"/>
      <c r="E45" s="15"/>
      <c r="F45" s="15"/>
      <c r="G45" s="17"/>
      <c r="H45" s="21"/>
      <c r="I45" s="15"/>
      <c r="J45" s="15"/>
    </row>
    <row r="46" spans="1:10" x14ac:dyDescent="0.35">
      <c r="A46" s="3" t="str">
        <f>"H1 = "&amp;ROUND(H43,2)&amp;" x "&amp;(B62)/1000</f>
        <v>H1 = 0 x 1.5</v>
      </c>
      <c r="B46" s="18"/>
      <c r="C46" s="15"/>
      <c r="D46" s="22" t="s">
        <v>65</v>
      </c>
      <c r="E46" s="15"/>
      <c r="F46" s="15"/>
      <c r="G46" s="17" t="s">
        <v>1</v>
      </c>
      <c r="H46" s="4">
        <f>H43*(B62)/1000</f>
        <v>0</v>
      </c>
      <c r="I46" s="15" t="s">
        <v>54</v>
      </c>
      <c r="J46" s="15"/>
    </row>
    <row r="47" spans="1:10" x14ac:dyDescent="0.35">
      <c r="A47" s="3" t="str">
        <f>"H2 = 1/2 x "&amp;ROUND(H44,2)&amp;" x "&amp;(B62)/1000</f>
        <v>H2 = 1/2 x 9.76 x 1.5</v>
      </c>
      <c r="B47" s="18"/>
      <c r="C47" s="15"/>
      <c r="D47" s="22" t="s">
        <v>66</v>
      </c>
      <c r="E47" s="15"/>
      <c r="F47" s="15"/>
      <c r="G47" s="17" t="s">
        <v>1</v>
      </c>
      <c r="H47" s="4">
        <f>0.5*H44*(B62)/1000</f>
        <v>7.3183827111824344</v>
      </c>
      <c r="I47" s="15" t="s">
        <v>54</v>
      </c>
      <c r="J47" s="15"/>
    </row>
    <row r="48" spans="1:10" x14ac:dyDescent="0.35">
      <c r="A48" s="15"/>
      <c r="B48" s="18"/>
      <c r="C48" s="15"/>
      <c r="D48" s="15"/>
      <c r="E48" s="15"/>
      <c r="F48" s="15"/>
      <c r="G48" s="15"/>
      <c r="H48" s="15"/>
      <c r="I48" s="15"/>
      <c r="J48" s="15"/>
    </row>
    <row r="49" spans="1:12" x14ac:dyDescent="0.35">
      <c r="A49" s="16" t="s">
        <v>70</v>
      </c>
      <c r="B49" s="18"/>
      <c r="C49" s="15"/>
      <c r="D49" s="15"/>
      <c r="E49" s="15"/>
      <c r="F49" s="15"/>
      <c r="G49" s="15"/>
      <c r="H49" s="15"/>
      <c r="I49" s="15"/>
      <c r="J49" s="15"/>
    </row>
    <row r="50" spans="1:12" x14ac:dyDescent="0.35">
      <c r="A50" s="15"/>
      <c r="B50" s="18"/>
      <c r="C50" s="15"/>
      <c r="D50" s="15"/>
      <c r="E50" s="15"/>
      <c r="F50" s="15"/>
      <c r="G50" s="15"/>
      <c r="H50" s="15"/>
      <c r="I50" s="15"/>
      <c r="J50" s="15"/>
    </row>
    <row r="51" spans="1:12" x14ac:dyDescent="0.35">
      <c r="A51" s="3" t="str">
        <f>"P3 = "&amp;H35&amp;" x "&amp;H17&amp;" x "&amp;(F63+F66)/1000</f>
        <v>P3 = 3 x 20 x 0.53</v>
      </c>
      <c r="B51" s="18"/>
      <c r="C51" s="15"/>
      <c r="D51" s="15"/>
      <c r="E51" s="15"/>
      <c r="F51" s="15"/>
      <c r="G51" s="17" t="s">
        <v>1</v>
      </c>
      <c r="H51" s="4">
        <f>H35*H17*(F63+F66)/1000</f>
        <v>31.8</v>
      </c>
      <c r="I51" s="15" t="s">
        <v>54</v>
      </c>
      <c r="J51" s="15"/>
    </row>
    <row r="52" spans="1:12" x14ac:dyDescent="0.35">
      <c r="A52" s="15"/>
      <c r="B52" s="18"/>
      <c r="C52" s="15"/>
      <c r="D52" s="15"/>
      <c r="E52" s="15"/>
      <c r="F52" s="15"/>
      <c r="G52" s="15"/>
      <c r="H52" s="15"/>
      <c r="I52" s="15"/>
      <c r="J52" s="15"/>
    </row>
    <row r="53" spans="1:12" x14ac:dyDescent="0.35">
      <c r="A53" s="15"/>
      <c r="B53" s="24" t="s">
        <v>18</v>
      </c>
      <c r="C53" s="15"/>
      <c r="D53" s="15"/>
      <c r="E53" s="25" t="s">
        <v>60</v>
      </c>
      <c r="F53" s="15"/>
      <c r="G53" s="15"/>
      <c r="H53" s="15"/>
      <c r="I53" s="15"/>
      <c r="J53" s="15"/>
    </row>
    <row r="54" spans="1:12" ht="16.5" x14ac:dyDescent="0.45">
      <c r="A54" s="15"/>
      <c r="B54" s="12">
        <v>230</v>
      </c>
      <c r="C54" s="15"/>
      <c r="D54" s="15"/>
      <c r="E54" s="25" t="s">
        <v>63</v>
      </c>
      <c r="F54" s="15"/>
      <c r="G54" s="17" t="s">
        <v>1</v>
      </c>
      <c r="H54" s="45">
        <f>G81/H81</f>
        <v>2.1537154048592559</v>
      </c>
      <c r="I54" s="46" t="str">
        <f>IF(H54&gt;2,"&gt; 2 Safe","&lt; 2 Check")</f>
        <v>&gt; 2 Safe</v>
      </c>
      <c r="J54" s="15"/>
    </row>
    <row r="55" spans="1:12" x14ac:dyDescent="0.35">
      <c r="A55" s="15"/>
      <c r="B55" s="18"/>
      <c r="C55" s="15"/>
      <c r="D55" s="15"/>
      <c r="E55" s="15"/>
      <c r="F55" s="15"/>
      <c r="G55" s="15"/>
      <c r="H55" s="15"/>
      <c r="I55" s="15"/>
      <c r="J55" s="15"/>
      <c r="K55" s="48" t="s">
        <v>84</v>
      </c>
      <c r="L55" s="47" t="str">
        <f>J84</f>
        <v>OK</v>
      </c>
    </row>
    <row r="56" spans="1:12" x14ac:dyDescent="0.35">
      <c r="A56" s="15"/>
      <c r="B56" s="18"/>
      <c r="C56" s="15"/>
      <c r="D56" s="15"/>
      <c r="E56" s="25" t="s">
        <v>64</v>
      </c>
      <c r="F56" s="15"/>
      <c r="G56" s="17"/>
      <c r="H56" s="17"/>
      <c r="I56" s="15"/>
      <c r="J56" s="15"/>
    </row>
    <row r="57" spans="1:12" x14ac:dyDescent="0.35">
      <c r="A57" s="15"/>
      <c r="B57" s="18"/>
      <c r="C57" s="15"/>
      <c r="D57" s="15"/>
      <c r="E57" s="25" t="s">
        <v>71</v>
      </c>
      <c r="F57" s="15"/>
      <c r="G57" s="17" t="s">
        <v>1</v>
      </c>
      <c r="H57" s="45">
        <f>(H9*E81+H51)/E82</f>
        <v>5.3797162928667133</v>
      </c>
      <c r="I57" s="46" t="str">
        <f>IF(H57&gt;1.5,"&gt; 1.5 Safe","&lt; 2 Check")</f>
        <v>&gt; 1.5 Safe</v>
      </c>
      <c r="J57" s="15"/>
    </row>
    <row r="58" spans="1:12" x14ac:dyDescent="0.35">
      <c r="A58" s="15"/>
      <c r="B58" s="15"/>
      <c r="C58" s="15"/>
      <c r="D58" s="15"/>
      <c r="E58" s="15"/>
      <c r="F58" s="15"/>
      <c r="G58" s="15"/>
      <c r="H58" s="15"/>
      <c r="I58" s="15"/>
      <c r="J58" s="15"/>
    </row>
    <row r="59" spans="1:12" x14ac:dyDescent="0.35">
      <c r="A59" s="15"/>
      <c r="B59" s="15"/>
      <c r="C59" s="15"/>
      <c r="D59" s="15"/>
      <c r="E59" s="15"/>
      <c r="F59" s="15"/>
      <c r="G59" s="15"/>
      <c r="H59" s="15"/>
      <c r="I59" s="15"/>
      <c r="J59" s="15"/>
    </row>
    <row r="60" spans="1:12" x14ac:dyDescent="0.35">
      <c r="A60" s="18" t="s">
        <v>101</v>
      </c>
      <c r="B60" s="15"/>
      <c r="C60" s="50">
        <f>SQRT(B62^2+C68^2)</f>
        <v>1503.3296378372909</v>
      </c>
      <c r="D60" s="15"/>
      <c r="E60" s="15"/>
      <c r="F60" s="12">
        <f>B54</f>
        <v>230</v>
      </c>
      <c r="G60" s="15"/>
      <c r="H60" s="15"/>
      <c r="I60" s="15"/>
      <c r="J60" s="15"/>
    </row>
    <row r="61" spans="1:12" x14ac:dyDescent="0.35">
      <c r="A61" s="18" t="s">
        <v>102</v>
      </c>
      <c r="B61" s="15"/>
      <c r="C61" s="15"/>
      <c r="D61" s="15"/>
      <c r="E61" s="15"/>
      <c r="F61" s="15"/>
      <c r="G61" s="15"/>
      <c r="H61" s="15"/>
      <c r="I61" s="65" t="s">
        <v>47</v>
      </c>
      <c r="J61" s="65"/>
    </row>
    <row r="62" spans="1:12" x14ac:dyDescent="0.35">
      <c r="A62" s="15"/>
      <c r="B62" s="51">
        <f>H4*1000</f>
        <v>1500</v>
      </c>
      <c r="C62" s="15"/>
      <c r="D62" s="15"/>
      <c r="E62" s="15"/>
      <c r="F62" s="15"/>
      <c r="G62" s="15"/>
      <c r="H62" s="15"/>
      <c r="I62" s="18" t="s">
        <v>76</v>
      </c>
      <c r="J62" s="11">
        <v>15</v>
      </c>
    </row>
    <row r="63" spans="1:12" x14ac:dyDescent="0.35">
      <c r="A63" s="15"/>
      <c r="B63" s="15"/>
      <c r="C63" s="15"/>
      <c r="D63" s="15"/>
      <c r="E63" s="15"/>
      <c r="F63" s="26">
        <v>300</v>
      </c>
      <c r="G63" s="15"/>
      <c r="H63" s="15"/>
      <c r="I63" s="18" t="s">
        <v>77</v>
      </c>
      <c r="J63" s="11">
        <v>1</v>
      </c>
    </row>
    <row r="64" spans="1:12" x14ac:dyDescent="0.35">
      <c r="A64" s="15"/>
      <c r="B64" s="15"/>
      <c r="C64" s="15"/>
      <c r="D64" s="15"/>
      <c r="E64" s="15"/>
      <c r="F64" s="15"/>
      <c r="G64" s="15"/>
      <c r="H64" s="15"/>
      <c r="I64" s="18"/>
      <c r="J64" s="15"/>
    </row>
    <row r="65" spans="1:10" x14ac:dyDescent="0.35">
      <c r="A65" s="15"/>
      <c r="B65" s="15"/>
      <c r="C65" s="15"/>
      <c r="D65" s="26">
        <v>600</v>
      </c>
      <c r="E65" s="17"/>
      <c r="F65" s="15"/>
      <c r="G65" s="15"/>
      <c r="H65" s="15"/>
      <c r="I65" s="18" t="s">
        <v>49</v>
      </c>
      <c r="J65" s="6">
        <f>(DEGREES(ATAN((J63)/J62)))</f>
        <v>3.8140748342903543</v>
      </c>
    </row>
    <row r="66" spans="1:10" x14ac:dyDescent="0.35">
      <c r="A66" s="15"/>
      <c r="B66" s="15"/>
      <c r="C66" s="15"/>
      <c r="D66" s="15"/>
      <c r="E66" s="15"/>
      <c r="F66" s="26">
        <f>B54</f>
        <v>230</v>
      </c>
      <c r="G66" s="15"/>
      <c r="H66" s="15"/>
      <c r="I66" s="18" t="s">
        <v>48</v>
      </c>
      <c r="J66" s="49">
        <f>COS(RADIANS(J65))</f>
        <v>0.99778515785660893</v>
      </c>
    </row>
    <row r="67" spans="1:10" x14ac:dyDescent="0.35">
      <c r="A67" s="15"/>
      <c r="B67" s="15"/>
      <c r="C67" s="15"/>
      <c r="D67" s="15"/>
      <c r="E67" s="15"/>
      <c r="F67" s="15"/>
      <c r="G67" s="15"/>
      <c r="H67" s="15"/>
      <c r="I67" s="18" t="s">
        <v>50</v>
      </c>
      <c r="J67" s="49">
        <f>SIN(RADIANS(J65))</f>
        <v>6.651901052377393E-2</v>
      </c>
    </row>
    <row r="68" spans="1:10" x14ac:dyDescent="0.35">
      <c r="A68" s="15"/>
      <c r="B68" s="15"/>
      <c r="C68" s="52">
        <f>B62/J62</f>
        <v>100</v>
      </c>
      <c r="D68" s="15"/>
      <c r="E68" s="15"/>
      <c r="F68" s="15"/>
      <c r="G68" s="15"/>
      <c r="H68" s="15"/>
      <c r="I68" s="15"/>
      <c r="J68" s="15"/>
    </row>
    <row r="69" spans="1:10" x14ac:dyDescent="0.35">
      <c r="A69" s="15"/>
      <c r="B69" s="15"/>
      <c r="C69" s="15"/>
      <c r="D69" s="15"/>
      <c r="E69" s="15"/>
      <c r="F69" s="15"/>
      <c r="G69" s="28"/>
      <c r="H69" s="15"/>
      <c r="I69" s="15"/>
      <c r="J69" s="15"/>
    </row>
    <row r="70" spans="1:10" x14ac:dyDescent="0.35">
      <c r="A70" s="15"/>
      <c r="B70" s="16" t="s">
        <v>75</v>
      </c>
      <c r="C70" s="15"/>
      <c r="D70" s="15"/>
      <c r="E70" s="15"/>
      <c r="F70" s="15"/>
      <c r="G70" s="15"/>
      <c r="H70" s="15"/>
      <c r="I70" s="15"/>
      <c r="J70" s="15"/>
    </row>
    <row r="71" spans="1:10" x14ac:dyDescent="0.35">
      <c r="A71" s="15"/>
      <c r="B71" s="15"/>
      <c r="C71" s="15"/>
      <c r="D71" s="15"/>
      <c r="E71" s="15"/>
      <c r="F71" s="15"/>
      <c r="G71" s="15"/>
      <c r="H71" s="15"/>
      <c r="I71" s="15"/>
      <c r="J71" s="15"/>
    </row>
    <row r="72" spans="1:10" x14ac:dyDescent="0.35">
      <c r="A72" s="16" t="s">
        <v>74</v>
      </c>
      <c r="B72" s="15"/>
      <c r="C72" s="15"/>
      <c r="D72" s="15"/>
      <c r="E72" s="15"/>
      <c r="F72" s="15"/>
      <c r="G72" s="15"/>
      <c r="H72" s="15"/>
      <c r="I72" s="15"/>
      <c r="J72" s="15"/>
    </row>
    <row r="73" spans="1:10" ht="19" customHeight="1" x14ac:dyDescent="0.35">
      <c r="A73" s="68" t="s">
        <v>4</v>
      </c>
      <c r="B73" s="68" t="s">
        <v>51</v>
      </c>
      <c r="C73" s="68"/>
      <c r="D73" s="68"/>
      <c r="E73" s="68"/>
      <c r="F73" s="68" t="s">
        <v>57</v>
      </c>
      <c r="G73" s="69" t="s">
        <v>58</v>
      </c>
      <c r="H73" s="69"/>
      <c r="I73" s="29"/>
      <c r="J73" s="29"/>
    </row>
    <row r="74" spans="1:10" ht="40" customHeight="1" x14ac:dyDescent="0.35">
      <c r="A74" s="68"/>
      <c r="B74" s="68"/>
      <c r="C74" s="68"/>
      <c r="D74" s="68"/>
      <c r="E74" s="68"/>
      <c r="F74" s="68"/>
      <c r="G74" s="30" t="s">
        <v>61</v>
      </c>
      <c r="H74" s="30" t="s">
        <v>62</v>
      </c>
      <c r="I74" s="29"/>
      <c r="J74" s="29"/>
    </row>
    <row r="75" spans="1:10" x14ac:dyDescent="0.35">
      <c r="A75" s="31">
        <v>1</v>
      </c>
      <c r="B75" s="56" t="str">
        <f>ROUND(ROUND(AVERAGE(B54,B54),2)/1000,2)&amp;" x "&amp;ROUND((C60/1000),2)&amp;" x "&amp;H38</f>
        <v>0.23 x 1.5 x 25</v>
      </c>
      <c r="C75" s="57"/>
      <c r="D75" s="58"/>
      <c r="E75" s="7">
        <f>AVERAGE(B54,B54)/1000*C60/1000*H38</f>
        <v>8.6441454175644221</v>
      </c>
      <c r="F75" s="7">
        <f>2/3*C68/1000+(D65+F60)/1000</f>
        <v>0.89666666666666661</v>
      </c>
      <c r="G75" s="7">
        <f>F75*E75</f>
        <v>7.7509170577494313</v>
      </c>
      <c r="H75" s="32"/>
      <c r="I75" s="15"/>
      <c r="J75" s="15"/>
    </row>
    <row r="76" spans="1:10" x14ac:dyDescent="0.35">
      <c r="A76" s="31"/>
      <c r="B76" s="56" t="str">
        <f>(D65)/1000&amp;" x "&amp;F66/1000&amp;" x "&amp;H38</f>
        <v>0.6 x 0.23 x 25</v>
      </c>
      <c r="C76" s="57"/>
      <c r="D76" s="58"/>
      <c r="E76" s="7">
        <f>(D65)/1000*F66/1000*H38</f>
        <v>3.45</v>
      </c>
      <c r="F76" s="7">
        <f>(D65/2+F60)/1000</f>
        <v>0.53</v>
      </c>
      <c r="G76" s="7">
        <f t="shared" ref="G76:G78" si="1">F76*E76</f>
        <v>1.8285000000000002</v>
      </c>
      <c r="H76" s="32"/>
      <c r="I76" s="15"/>
      <c r="J76" s="15"/>
    </row>
    <row r="77" spans="1:10" x14ac:dyDescent="0.35">
      <c r="A77" s="31"/>
      <c r="B77" s="56" t="str">
        <f>(F63+F66)/1000&amp;" x "&amp;(F60)/1000&amp;" x "&amp;H38</f>
        <v>0.53 x 0.23 x 25</v>
      </c>
      <c r="C77" s="57"/>
      <c r="D77" s="58"/>
      <c r="E77" s="7">
        <f>(F63+F66)/1000*(F60)/1000*H38</f>
        <v>3.0475000000000003</v>
      </c>
      <c r="F77" s="7">
        <f>(F60/2/1000)</f>
        <v>0.115</v>
      </c>
      <c r="G77" s="7">
        <f t="shared" si="1"/>
        <v>0.35046250000000007</v>
      </c>
      <c r="H77" s="32"/>
      <c r="I77" s="15"/>
      <c r="J77" s="15"/>
    </row>
    <row r="78" spans="1:10" x14ac:dyDescent="0.35">
      <c r="A78" s="31">
        <v>2</v>
      </c>
      <c r="B78" s="56" t="s">
        <v>52</v>
      </c>
      <c r="C78" s="57"/>
      <c r="D78" s="58"/>
      <c r="E78" s="14">
        <f>H47/H31*H32*0</f>
        <v>0</v>
      </c>
      <c r="F78" s="7">
        <f>(D65+F60)/1000</f>
        <v>0.83</v>
      </c>
      <c r="G78" s="7">
        <f t="shared" si="1"/>
        <v>0</v>
      </c>
      <c r="H78" s="32"/>
      <c r="I78" s="15"/>
      <c r="J78" s="15"/>
    </row>
    <row r="79" spans="1:10" x14ac:dyDescent="0.35">
      <c r="A79" s="31" t="s">
        <v>2</v>
      </c>
      <c r="B79" s="59" t="str">
        <f>ROUND(H43,2)&amp;" x "&amp;(B62)/1000</f>
        <v>0 x 1.5</v>
      </c>
      <c r="C79" s="60"/>
      <c r="D79" s="61"/>
      <c r="E79" s="7">
        <f>H43*(B62)/1000</f>
        <v>0</v>
      </c>
      <c r="F79" s="7">
        <f>0.5*(B62)/1000</f>
        <v>0.75</v>
      </c>
      <c r="G79" s="32"/>
      <c r="H79" s="7">
        <f>E79*F79</f>
        <v>0</v>
      </c>
      <c r="I79" s="15"/>
      <c r="J79" s="15"/>
    </row>
    <row r="80" spans="1:10" x14ac:dyDescent="0.35">
      <c r="A80" s="31" t="s">
        <v>3</v>
      </c>
      <c r="B80" s="56" t="str">
        <f>"1/2 x "&amp;ROUND(H44,2)&amp;" x "&amp;(B62)/1000</f>
        <v>1/2 x 9.76 x 1.5</v>
      </c>
      <c r="C80" s="57"/>
      <c r="D80" s="58"/>
      <c r="E80" s="7">
        <f>1/2*H44*(B62)/1000</f>
        <v>7.3183827111824344</v>
      </c>
      <c r="F80" s="7">
        <f>0.42*(B62)/1000</f>
        <v>0.63</v>
      </c>
      <c r="G80" s="32"/>
      <c r="H80" s="7">
        <f>E80*F80</f>
        <v>4.6105811080449337</v>
      </c>
      <c r="I80" s="15"/>
      <c r="J80" s="15"/>
    </row>
    <row r="81" spans="1:10" x14ac:dyDescent="0.35">
      <c r="A81" s="62" t="s">
        <v>55</v>
      </c>
      <c r="B81" s="63"/>
      <c r="C81" s="64"/>
      <c r="D81" s="33" t="s">
        <v>8</v>
      </c>
      <c r="E81" s="53">
        <f>SUM(E75:E78)</f>
        <v>15.141645417564423</v>
      </c>
      <c r="F81" s="34"/>
      <c r="G81" s="54">
        <f>SUM(G75:G78)</f>
        <v>9.9298795577494321</v>
      </c>
      <c r="H81" s="54">
        <f>SUM(H79:H80)</f>
        <v>4.6105811080449337</v>
      </c>
      <c r="I81" s="15"/>
      <c r="J81" s="15"/>
    </row>
    <row r="82" spans="1:10" x14ac:dyDescent="0.35">
      <c r="A82" s="62" t="s">
        <v>56</v>
      </c>
      <c r="B82" s="63"/>
      <c r="C82" s="64"/>
      <c r="D82" s="33" t="s">
        <v>59</v>
      </c>
      <c r="E82" s="53">
        <f>SUM(E79:E80)</f>
        <v>7.3183827111824344</v>
      </c>
      <c r="F82" s="35"/>
      <c r="G82" s="36"/>
      <c r="H82" s="36"/>
      <c r="I82" s="15"/>
      <c r="J82" s="15"/>
    </row>
    <row r="83" spans="1:10" x14ac:dyDescent="0.35">
      <c r="A83" s="15"/>
      <c r="B83" s="15"/>
      <c r="C83" s="15"/>
      <c r="D83" s="15"/>
      <c r="E83" s="27"/>
      <c r="F83" s="15"/>
      <c r="G83" s="15"/>
      <c r="H83" s="15"/>
      <c r="I83" s="15"/>
      <c r="J83" s="15"/>
    </row>
    <row r="84" spans="1:10" ht="16.5" x14ac:dyDescent="0.45">
      <c r="A84" s="15" t="s">
        <v>80</v>
      </c>
      <c r="B84" s="15"/>
      <c r="C84" s="15"/>
      <c r="D84" s="37" t="s">
        <v>81</v>
      </c>
      <c r="E84" s="27" t="s">
        <v>1</v>
      </c>
      <c r="F84" s="38" t="s">
        <v>82</v>
      </c>
      <c r="G84" s="15"/>
      <c r="H84" s="4">
        <f>(G81-H81)/E81</f>
        <v>0.35130253701054659</v>
      </c>
      <c r="I84" s="48" t="s">
        <v>84</v>
      </c>
      <c r="J84" s="5" t="str">
        <f>IF(H84&lt;(F60+D65+F60)/6/1000,"Not OK","OK")</f>
        <v>OK</v>
      </c>
    </row>
    <row r="85" spans="1:10" x14ac:dyDescent="0.35">
      <c r="A85" s="15"/>
      <c r="B85" s="15"/>
      <c r="C85" s="15"/>
      <c r="D85" s="37"/>
      <c r="E85" s="27"/>
      <c r="F85" s="27"/>
      <c r="G85" s="15"/>
      <c r="H85" s="15"/>
      <c r="I85" s="15"/>
      <c r="J85" s="15"/>
    </row>
    <row r="86" spans="1:10" ht="16.5" x14ac:dyDescent="0.45">
      <c r="A86" s="15" t="s">
        <v>6</v>
      </c>
      <c r="B86" s="15"/>
      <c r="C86" s="15"/>
      <c r="D86" s="39" t="s">
        <v>7</v>
      </c>
      <c r="E86" s="17" t="s">
        <v>1</v>
      </c>
      <c r="F86" s="15" t="s">
        <v>83</v>
      </c>
      <c r="G86" s="15"/>
      <c r="H86" s="4">
        <f>((F60+D65+(B54/2))/2/1000)-H84</f>
        <v>0.12119746298945339</v>
      </c>
      <c r="I86" s="15" t="s">
        <v>5</v>
      </c>
      <c r="J86" s="15"/>
    </row>
    <row r="87" spans="1:10" x14ac:dyDescent="0.35">
      <c r="A87" s="15"/>
      <c r="B87" s="15"/>
      <c r="C87" s="15"/>
      <c r="D87" s="37"/>
      <c r="E87" s="15"/>
      <c r="F87" s="15"/>
      <c r="G87" s="15"/>
      <c r="H87" s="15"/>
      <c r="I87" s="15"/>
      <c r="J87" s="15"/>
    </row>
    <row r="88" spans="1:10" x14ac:dyDescent="0.35">
      <c r="A88" s="40" t="s">
        <v>85</v>
      </c>
      <c r="B88" s="15"/>
      <c r="C88" s="17"/>
      <c r="D88" s="37" t="s">
        <v>86</v>
      </c>
      <c r="E88" s="17" t="s">
        <v>1</v>
      </c>
      <c r="F88" s="4">
        <f>E81</f>
        <v>15.141645417564423</v>
      </c>
      <c r="G88" s="15" t="s">
        <v>54</v>
      </c>
      <c r="H88" s="15"/>
      <c r="I88" s="15"/>
      <c r="J88" s="15"/>
    </row>
    <row r="89" spans="1:10" ht="16.5" x14ac:dyDescent="0.35">
      <c r="A89" s="15" t="s">
        <v>87</v>
      </c>
      <c r="B89" s="15"/>
      <c r="C89" s="15"/>
      <c r="D89" s="37" t="s">
        <v>88</v>
      </c>
      <c r="E89" s="17" t="s">
        <v>1</v>
      </c>
      <c r="F89" s="4">
        <f>F88*H86</f>
        <v>1.8351290100946906</v>
      </c>
      <c r="G89" s="15" t="s">
        <v>89</v>
      </c>
      <c r="H89" s="15"/>
      <c r="I89" s="15"/>
      <c r="J89" s="15"/>
    </row>
    <row r="90" spans="1:10" x14ac:dyDescent="0.35">
      <c r="A90" s="15"/>
      <c r="B90" s="15"/>
      <c r="C90" s="15"/>
      <c r="D90" s="37"/>
      <c r="E90" s="17"/>
      <c r="F90" s="15"/>
      <c r="G90" s="15"/>
      <c r="H90" s="15"/>
      <c r="I90" s="15"/>
      <c r="J90" s="15"/>
    </row>
    <row r="91" spans="1:10" x14ac:dyDescent="0.35">
      <c r="A91" s="15" t="s">
        <v>90</v>
      </c>
      <c r="B91" s="15"/>
      <c r="C91" s="15"/>
      <c r="D91" s="37" t="s">
        <v>91</v>
      </c>
      <c r="E91" s="17" t="s">
        <v>1</v>
      </c>
      <c r="F91" s="3">
        <f>((F60+D65+(F60/2))/1000)</f>
        <v>0.94499999999999995</v>
      </c>
      <c r="G91" s="15" t="s">
        <v>5</v>
      </c>
      <c r="H91" s="15"/>
      <c r="I91" s="15"/>
      <c r="J91" s="15"/>
    </row>
    <row r="92" spans="1:10" ht="16.5" x14ac:dyDescent="0.35">
      <c r="A92" s="15" t="s">
        <v>92</v>
      </c>
      <c r="B92" s="15"/>
      <c r="C92" s="15"/>
      <c r="D92" s="37" t="s">
        <v>9</v>
      </c>
      <c r="E92" s="17" t="s">
        <v>1</v>
      </c>
      <c r="F92" s="3">
        <f>F91</f>
        <v>0.94499999999999995</v>
      </c>
      <c r="G92" s="15" t="s">
        <v>93</v>
      </c>
      <c r="H92" s="15"/>
      <c r="I92" s="15"/>
      <c r="J92" s="15"/>
    </row>
    <row r="93" spans="1:10" ht="16.5" x14ac:dyDescent="0.35">
      <c r="A93" s="15" t="s">
        <v>10</v>
      </c>
      <c r="B93" s="15"/>
      <c r="C93" s="15"/>
      <c r="D93" s="37" t="s">
        <v>94</v>
      </c>
      <c r="E93" s="17" t="s">
        <v>1</v>
      </c>
      <c r="F93" s="4">
        <f>F91^2/6</f>
        <v>0.14883749999999998</v>
      </c>
      <c r="G93" s="15" t="s">
        <v>95</v>
      </c>
      <c r="H93" s="15"/>
      <c r="I93" s="15"/>
      <c r="J93" s="15"/>
    </row>
    <row r="94" spans="1:10" x14ac:dyDescent="0.35">
      <c r="A94" s="15"/>
      <c r="B94" s="15"/>
      <c r="C94" s="15"/>
      <c r="D94" s="37"/>
      <c r="E94" s="15"/>
      <c r="F94" s="15"/>
      <c r="G94" s="15"/>
      <c r="H94" s="15"/>
      <c r="I94" s="15"/>
      <c r="J94" s="15"/>
    </row>
    <row r="95" spans="1:10" ht="16.5" x14ac:dyDescent="0.35">
      <c r="A95" s="15" t="s">
        <v>96</v>
      </c>
      <c r="B95" s="15"/>
      <c r="C95" s="15"/>
      <c r="D95" s="37" t="s">
        <v>98</v>
      </c>
      <c r="E95" s="17" t="s">
        <v>1</v>
      </c>
      <c r="F95" s="4">
        <f>(F88/F92)+(F89/F93)</f>
        <v>28.352654158804654</v>
      </c>
      <c r="G95" s="41" t="str">
        <f>IF(F95&gt;H10,"Not OK","OK")</f>
        <v>OK</v>
      </c>
      <c r="H95" s="15"/>
      <c r="I95" s="15"/>
      <c r="J95" s="15"/>
    </row>
    <row r="96" spans="1:10" ht="16.5" x14ac:dyDescent="0.35">
      <c r="A96" s="15" t="s">
        <v>97</v>
      </c>
      <c r="B96" s="15"/>
      <c r="C96" s="15"/>
      <c r="D96" s="37" t="s">
        <v>99</v>
      </c>
      <c r="E96" s="17" t="s">
        <v>1</v>
      </c>
      <c r="F96" s="4">
        <f>(F88/F92)-(F89/F93)</f>
        <v>3.6931562487391005</v>
      </c>
      <c r="G96" s="41" t="str">
        <f>IF(F96&lt;0,"Not OK","OK")</f>
        <v>OK</v>
      </c>
      <c r="H96" s="15"/>
      <c r="I96" s="15"/>
      <c r="J96" s="15"/>
    </row>
  </sheetData>
  <sheetProtection algorithmName="SHA-512" hashValue="7RifJLgpkAek7HMyY1QCVILTmJphxCVCU3v3HwUkZbqylQF/gTPUm+6WmgJe+GNsXi4RvlzOV7+i57Mj7XCgiQ==" saltValue="fOajm1FXEZ78W+mSCrgD5w==" spinCount="100000" sheet="1" objects="1" scenarios="1" formatCells="0" formatColumns="0" formatRows="0" insertColumns="0" insertRows="0" deleteColumns="0" deleteRows="0" sort="0" autoFilter="0"/>
  <mergeCells count="15">
    <mergeCell ref="A82:C82"/>
    <mergeCell ref="I61:J61"/>
    <mergeCell ref="A1:J1"/>
    <mergeCell ref="B76:D76"/>
    <mergeCell ref="B77:D77"/>
    <mergeCell ref="B78:D78"/>
    <mergeCell ref="B79:D79"/>
    <mergeCell ref="B80:D80"/>
    <mergeCell ref="A81:C81"/>
    <mergeCell ref="B28:H28"/>
    <mergeCell ref="A73:A74"/>
    <mergeCell ref="B73:E74"/>
    <mergeCell ref="F73:F74"/>
    <mergeCell ref="G73:H73"/>
    <mergeCell ref="B75:D75"/>
  </mergeCells>
  <pageMargins left="0.7" right="0.7" top="0.75" bottom="0.75" header="0.3" footer="0.3"/>
  <pageSetup paperSize="9" scale="98" orientation="portrait" r:id="rId1"/>
  <rowBreaks count="1" manualBreakCount="1">
    <brk id="48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PCC Wall w drain Cover</vt:lpstr>
      <vt:lpstr>PCC Wall with Drain</vt:lpstr>
      <vt:lpstr>'PCC Wall w drain Cover'!Print_Area</vt:lpstr>
      <vt:lpstr>'PCC Wall with Drain'!Print_Area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Dinesh Choudhari</dc:creator>
  <cp:lastModifiedBy>Dinesh Choudhari</cp:lastModifiedBy>
  <cp:lastPrinted>2024-06-12T09:34:35Z</cp:lastPrinted>
  <dcterms:created xsi:type="dcterms:W3CDTF">2023-08-08T19:19:25Z</dcterms:created>
  <dcterms:modified xsi:type="dcterms:W3CDTF">2024-06-12T10:19:34Z</dcterms:modified>
</cp:coreProperties>
</file>