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embeddings/oleObject7.bin" ContentType="application/vnd.openxmlformats-officedocument.oleObject"/>
  <Override PartName="/xl/embeddings/oleObject8.bin" ContentType="application/vnd.openxmlformats-officedocument.oleObject"/>
  <Override PartName="/xl/embeddings/oleObject9.bin" ContentType="application/vnd.openxmlformats-officedocument.oleObject"/>
  <Override PartName="/xl/embeddings/oleObject10.bin" ContentType="application/vnd.openxmlformats-officedocument.oleObject"/>
  <Override PartName="/xl/embeddings/oleObject11.bin" ContentType="application/vnd.openxmlformats-officedocument.oleObject"/>
  <Override PartName="/xl/embeddings/oleObject12.bin" ContentType="application/vnd.openxmlformats-officedocument.oleObject"/>
  <Override PartName="/xl/embeddings/oleObject13.bin" ContentType="application/vnd.openxmlformats-officedocument.oleObject"/>
  <Override PartName="/xl/embeddings/oleObject14.bin" ContentType="application/vnd.openxmlformats-officedocument.oleObject"/>
  <Override PartName="/xl/embeddings/oleObject15.bin" ContentType="application/vnd.openxmlformats-officedocument.oleObject"/>
  <Override PartName="/xl/drawings/drawing3.xml" ContentType="application/vnd.openxmlformats-officedocument.drawing+xml"/>
  <Override PartName="/xl/embeddings/oleObject16.bin" ContentType="application/vnd.openxmlformats-officedocument.oleObject"/>
  <Override PartName="/xl/embeddings/oleObject17.bin" ContentType="application/vnd.openxmlformats-officedocument.oleObject"/>
  <Override PartName="/xl/embeddings/oleObject18.bin" ContentType="application/vnd.openxmlformats-officedocument.oleObject"/>
  <Override PartName="/xl/embeddings/oleObject19.bin" ContentType="application/vnd.openxmlformats-officedocument.oleObject"/>
  <Override PartName="/xl/drawings/drawing4.xml" ContentType="application/vnd.openxmlformats-officedocument.drawing+xml"/>
  <Override PartName="/xl/embeddings/oleObject20.bin" ContentType="application/vnd.openxmlformats-officedocument.oleObject"/>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Dinesh data\07) My Bridge Courses\Digital Products\"/>
    </mc:Choice>
  </mc:AlternateContent>
  <bookViews>
    <workbookView xWindow="0" yWindow="0" windowWidth="19200" windowHeight="7450" tabRatio="825" firstSheet="6" activeTab="6"/>
  </bookViews>
  <sheets>
    <sheet name="Front Page" sheetId="6" state="hidden" r:id="rId1"/>
    <sheet name="Index" sheetId="7" state="hidden" r:id="rId2"/>
    <sheet name="Introduction" sheetId="8" state="hidden" r:id="rId3"/>
    <sheet name="Design" sheetId="5" state="hidden" r:id="rId4"/>
    <sheet name="Stress &amp; Crack width" sheetId="3" state="hidden" r:id="rId5"/>
    <sheet name="Sheet1" sheetId="9" state="hidden" r:id="rId6"/>
    <sheet name="Sheet2" sheetId="10" r:id="rId7"/>
  </sheets>
  <definedNames>
    <definedName name="_xlnm.Print_Area" localSheetId="3">Design!$A$1:$AQ$651</definedName>
    <definedName name="_xlnm.Print_Area" localSheetId="0">'Front Page'!$A$1:$AE$50</definedName>
    <definedName name="_xlnm.Print_Area" localSheetId="1">Index!$A$1:$H$28</definedName>
    <definedName name="_xlnm.Print_Area" localSheetId="2">Introduction!$A$1:$L$40</definedName>
    <definedName name="_xlnm.Print_Area" localSheetId="6">Sheet2!$A$1:$J$48</definedName>
    <definedName name="_xlnm.Print_Area" localSheetId="4">'Stress &amp; Crack width'!$A$1:$EZ$103</definedName>
    <definedName name="_xlnm.Print_Titles" localSheetId="3">Design!$1:$4</definedName>
    <definedName name="_xlnm.Print_Titles" localSheetId="4">'Stress &amp; Crack width'!$1:$4</definedName>
  </definedNames>
  <calcPr calcId="152511"/>
</workbook>
</file>

<file path=xl/calcChain.xml><?xml version="1.0" encoding="utf-8"?>
<calcChain xmlns="http://schemas.openxmlformats.org/spreadsheetml/2006/main">
  <c r="F32" i="10" l="1"/>
  <c r="A1" i="10"/>
  <c r="F27" i="10" l="1"/>
  <c r="F35" i="10" s="1"/>
  <c r="F41" i="10" l="1"/>
  <c r="F38" i="10" s="1"/>
  <c r="F30" i="10"/>
  <c r="F31" i="10"/>
  <c r="F26" i="10"/>
  <c r="F25" i="10"/>
  <c r="F21" i="10"/>
  <c r="F34" i="10" l="1"/>
  <c r="F33" i="10"/>
  <c r="F28" i="10"/>
  <c r="F29" i="10" s="1"/>
  <c r="F48" i="10"/>
  <c r="F36" i="10" l="1"/>
  <c r="F43" i="10" s="1"/>
  <c r="F45" i="10"/>
  <c r="F47" i="10" l="1"/>
  <c r="G48" i="10" s="1"/>
  <c r="G45" i="10"/>
  <c r="U72" i="5"/>
  <c r="BT206" i="5" l="1"/>
  <c r="T397" i="5" l="1"/>
  <c r="Q397" i="5"/>
  <c r="P394" i="5"/>
  <c r="M394" i="5"/>
  <c r="Q146" i="5" l="1"/>
  <c r="AB375" i="5" l="1"/>
  <c r="Z77" i="5"/>
  <c r="U70" i="5" l="1"/>
  <c r="T146" i="5" s="1"/>
  <c r="AS45" i="5" l="1"/>
  <c r="R57" i="3" l="1"/>
  <c r="AS395" i="5"/>
  <c r="AS394" i="5"/>
  <c r="R59" i="3" l="1"/>
  <c r="AB397" i="5"/>
  <c r="AB394" i="5"/>
  <c r="U37" i="5"/>
  <c r="AH397" i="5" l="1"/>
  <c r="U25" i="5"/>
  <c r="U23" i="5"/>
  <c r="AS37" i="5" l="1"/>
  <c r="AS38" i="5"/>
  <c r="AS36" i="5"/>
  <c r="T409" i="5" l="1"/>
  <c r="T410" i="5"/>
  <c r="AD404" i="5"/>
  <c r="Z404" i="5"/>
  <c r="Q114" i="5"/>
  <c r="AD111" i="5"/>
  <c r="Q150" i="5" s="1"/>
  <c r="Z160" i="5" l="1"/>
  <c r="R406" i="5"/>
  <c r="R407" i="5" s="1"/>
  <c r="AI410" i="5" s="1"/>
  <c r="EE59" i="3"/>
  <c r="EE57" i="3"/>
  <c r="EE56" i="3"/>
  <c r="EE68" i="3"/>
  <c r="ER27" i="3"/>
  <c r="AI409" i="5" l="1"/>
  <c r="T154" i="5"/>
  <c r="T155" i="5" s="1"/>
  <c r="T156" i="5" l="1"/>
  <c r="T157" i="5" s="1"/>
  <c r="T158" i="5" l="1"/>
  <c r="U26" i="5"/>
  <c r="U24" i="5"/>
  <c r="T159" i="5" l="1"/>
  <c r="U9" i="5"/>
  <c r="H17" i="6" l="1"/>
  <c r="Z146" i="5"/>
  <c r="AB528" i="5"/>
  <c r="AS526" i="5"/>
  <c r="AS525" i="5"/>
  <c r="EE58" i="3" s="1"/>
  <c r="EE60" i="3" s="1"/>
  <c r="AB525" i="5"/>
  <c r="DZ31" i="3" s="1"/>
  <c r="ER37" i="3" l="1"/>
  <c r="EE63" i="3"/>
  <c r="AH528" i="5"/>
  <c r="R63" i="3" l="1"/>
  <c r="M31" i="3"/>
  <c r="P90" i="5"/>
  <c r="L135" i="5" l="1"/>
  <c r="T148" i="5"/>
  <c r="AO458" i="5" l="1"/>
  <c r="AF457" i="5"/>
  <c r="U457" i="5"/>
  <c r="AB484" i="5" l="1"/>
  <c r="S571" i="5"/>
  <c r="S130" i="5"/>
  <c r="S135" i="5" s="1"/>
  <c r="AZ31" i="3" l="1"/>
  <c r="D4" i="8" l="1"/>
  <c r="D2" i="8"/>
  <c r="AR603" i="5"/>
  <c r="AR602" i="5"/>
  <c r="CR57" i="3"/>
  <c r="CR56" i="3"/>
  <c r="CR68" i="3"/>
  <c r="DE27" i="3"/>
  <c r="AB624" i="5"/>
  <c r="AB605" i="5"/>
  <c r="AB602" i="5"/>
  <c r="BE90" i="3"/>
  <c r="CR90" i="3" s="1"/>
  <c r="BE62" i="3"/>
  <c r="CR62" i="3" s="1"/>
  <c r="BE61" i="3"/>
  <c r="CR61" i="3" s="1"/>
  <c r="BE57" i="3"/>
  <c r="BE56" i="3"/>
  <c r="BE55" i="3"/>
  <c r="CR55" i="3" s="1"/>
  <c r="EE55" i="3" s="1"/>
  <c r="AB538" i="5"/>
  <c r="AB487" i="5"/>
  <c r="AH487" i="5" s="1"/>
  <c r="BE63" i="3"/>
  <c r="AH605" i="5" l="1"/>
  <c r="F1" i="5"/>
  <c r="F1" i="3"/>
  <c r="F3" i="5"/>
  <c r="F3" i="3"/>
  <c r="CR58" i="3"/>
  <c r="CR59" i="3"/>
  <c r="CM31" i="3"/>
  <c r="CR63" i="3"/>
  <c r="BR37" i="3"/>
  <c r="AS3" i="3" l="1"/>
  <c r="CF3" i="3" s="1"/>
  <c r="DS3" i="3" s="1"/>
  <c r="AS1" i="3"/>
  <c r="CF1" i="3" s="1"/>
  <c r="DS1" i="3" s="1"/>
  <c r="CR60" i="3"/>
  <c r="DE37" i="3"/>
  <c r="AC457" i="5"/>
  <c r="R457" i="5"/>
  <c r="AO457" i="5" s="1"/>
  <c r="AS485" i="5"/>
  <c r="BE59" i="3" s="1"/>
  <c r="AS484" i="5"/>
  <c r="BE58" i="3" s="1"/>
  <c r="BE68" i="3"/>
  <c r="BR27" i="3"/>
  <c r="R68" i="3"/>
  <c r="AS376" i="5"/>
  <c r="AS375" i="5"/>
  <c r="R56" i="3"/>
  <c r="R55" i="3"/>
  <c r="Z14" i="3"/>
  <c r="R64" i="3" s="1"/>
  <c r="R94" i="3" s="1"/>
  <c r="P571" i="5" l="1"/>
  <c r="BE60" i="3"/>
  <c r="R58" i="3"/>
  <c r="BM14" i="3"/>
  <c r="CZ14" i="3" s="1"/>
  <c r="EM14" i="3" s="1"/>
  <c r="EE64" i="3" l="1"/>
  <c r="CR64" i="3"/>
  <c r="BE64" i="3"/>
  <c r="BE94" i="3" s="1"/>
  <c r="R60" i="3"/>
  <c r="EE94" i="3" l="1"/>
  <c r="CR94" i="3"/>
  <c r="Z11" i="3"/>
  <c r="AE27" i="3"/>
  <c r="Z12" i="3" l="1"/>
  <c r="BM12" i="3" s="1"/>
  <c r="CZ12" i="3" s="1"/>
  <c r="EM12" i="3" s="1"/>
  <c r="BM11" i="3"/>
  <c r="CZ11" i="3" s="1"/>
  <c r="EM11" i="3" s="1"/>
  <c r="AB420" i="5" l="1"/>
  <c r="AB378" i="5" l="1"/>
  <c r="AH378" i="5" s="1"/>
  <c r="AE37" i="3" l="1"/>
  <c r="AM214" i="5" l="1"/>
  <c r="O213" i="5" l="1"/>
  <c r="O251" i="5" s="1"/>
  <c r="O267" i="5" l="1"/>
  <c r="O253" i="5"/>
  <c r="O269" i="5" s="1"/>
  <c r="V219" i="5"/>
  <c r="O271" i="5" l="1"/>
  <c r="U269" i="5"/>
  <c r="U271" i="5" s="1"/>
  <c r="V257" i="5"/>
  <c r="V259" i="5" s="1"/>
  <c r="O283" i="5" l="1"/>
  <c r="V273" i="5"/>
  <c r="V275" i="5" s="1"/>
  <c r="V289" i="5" l="1"/>
  <c r="V291" i="5" s="1"/>
  <c r="G104" i="5"/>
  <c r="AB98" i="5"/>
  <c r="Q154" i="5" l="1"/>
  <c r="Q155" i="5" s="1"/>
  <c r="L457" i="5"/>
  <c r="Q148" i="5"/>
  <c r="AI663" i="5"/>
  <c r="T145" i="5" l="1"/>
  <c r="BQ12" i="5"/>
  <c r="BL12" i="5"/>
  <c r="BL17" i="5"/>
  <c r="BE17" i="5"/>
  <c r="U55" i="5"/>
  <c r="Z15" i="3" s="1"/>
  <c r="U47" i="5"/>
  <c r="U54" i="5" s="1"/>
  <c r="U45" i="5"/>
  <c r="U63" i="5"/>
  <c r="R91" i="3" l="1"/>
  <c r="BE91" i="3" s="1"/>
  <c r="CR91" i="3" s="1"/>
  <c r="EE91" i="3" s="1"/>
  <c r="U46" i="5"/>
  <c r="Z10" i="3"/>
  <c r="R65" i="3"/>
  <c r="R86" i="3" s="1"/>
  <c r="M30" i="3"/>
  <c r="BM15" i="3"/>
  <c r="CZ15" i="3" s="1"/>
  <c r="EM15" i="3" s="1"/>
  <c r="U53" i="5"/>
  <c r="U64" i="5"/>
  <c r="U65" i="5" s="1"/>
  <c r="EE65" i="3" l="1"/>
  <c r="EE86" i="3" s="1"/>
  <c r="DZ30" i="3"/>
  <c r="AB542" i="5"/>
  <c r="AB628" i="5"/>
  <c r="CR65" i="3"/>
  <c r="CR86" i="3" s="1"/>
  <c r="CM30" i="3"/>
  <c r="BM10" i="3"/>
  <c r="CZ10" i="3" s="1"/>
  <c r="EM10" i="3" s="1"/>
  <c r="Z13" i="3"/>
  <c r="BM13" i="3" s="1"/>
  <c r="CZ13" i="3" s="1"/>
  <c r="EM13" i="3" s="1"/>
  <c r="BE65" i="3"/>
  <c r="BE86" i="3" s="1"/>
  <c r="AZ30" i="3"/>
  <c r="U59" i="5"/>
  <c r="AB424" i="5"/>
  <c r="U60" i="5"/>
  <c r="U61" i="5" s="1"/>
  <c r="U62" i="5" l="1"/>
  <c r="K660" i="5"/>
  <c r="I659" i="5"/>
  <c r="Y660" i="5"/>
  <c r="W659" i="5"/>
  <c r="Y658" i="5"/>
  <c r="W657" i="5"/>
  <c r="AA668" i="5"/>
  <c r="Y667" i="5"/>
  <c r="X665" i="5"/>
  <c r="V664" i="5"/>
  <c r="F665" i="5"/>
  <c r="D664" i="5"/>
  <c r="L668" i="5"/>
  <c r="H667" i="5"/>
  <c r="BH206" i="5" l="1"/>
  <c r="T98" i="5" l="1"/>
  <c r="N148" i="5" l="1"/>
  <c r="W148" i="5" s="1"/>
  <c r="R654" i="5"/>
  <c r="Z334" i="5" l="1"/>
  <c r="AB333" i="5"/>
  <c r="X330" i="5"/>
  <c r="AA327" i="5"/>
  <c r="S317" i="5"/>
  <c r="O315" i="5"/>
  <c r="W308" i="5"/>
  <c r="O308" i="5"/>
  <c r="Q306" i="5"/>
  <c r="S303" i="5"/>
  <c r="BT204" i="5" l="1"/>
  <c r="P91" i="5"/>
  <c r="L93" i="5" s="1"/>
  <c r="H91" i="5"/>
  <c r="H90" i="5"/>
  <c r="R295" i="5" l="1"/>
  <c r="V294" i="5" s="1"/>
  <c r="O298" i="5" s="1"/>
  <c r="H92" i="5"/>
  <c r="L92" i="5"/>
  <c r="H94" i="5" l="1"/>
  <c r="J110" i="5"/>
  <c r="T306" i="5"/>
  <c r="X306" i="5" s="1"/>
  <c r="Q316" i="5" s="1"/>
  <c r="O323" i="5"/>
  <c r="P113" i="5"/>
  <c r="Y495" i="5" s="1"/>
  <c r="Z150" i="5"/>
  <c r="R308" i="5"/>
  <c r="O309" i="5" s="1"/>
  <c r="S310" i="5" s="1"/>
  <c r="W135" i="5" l="1"/>
  <c r="Z148" i="5"/>
  <c r="AF148" i="5" s="1"/>
  <c r="N159" i="5"/>
  <c r="Z159" i="5"/>
  <c r="N158" i="5"/>
  <c r="Z158" i="5"/>
  <c r="Z145" i="5"/>
  <c r="W327" i="5"/>
  <c r="W580" i="5"/>
  <c r="V583" i="5" s="1"/>
  <c r="O215" i="5"/>
  <c r="AB218" i="5"/>
  <c r="K673" i="5"/>
  <c r="V221" i="5"/>
  <c r="N150" i="5"/>
  <c r="N151" i="5"/>
  <c r="Z151" i="5" l="1"/>
  <c r="AB256" i="5"/>
  <c r="AB272" i="5" s="1"/>
  <c r="AB288" i="5" s="1"/>
  <c r="O217" i="5"/>
  <c r="U215" i="5"/>
  <c r="U217" i="5" s="1"/>
  <c r="AI670" i="5"/>
  <c r="Q149" i="5"/>
  <c r="T324" i="5"/>
  <c r="X324" i="5" s="1"/>
  <c r="O255" i="5" l="1"/>
  <c r="U253" i="5"/>
  <c r="U255" i="5" s="1"/>
  <c r="O285" i="5" l="1"/>
  <c r="O287" i="5" l="1"/>
  <c r="U285" i="5"/>
  <c r="U287" i="5" s="1"/>
  <c r="T149" i="5" l="1"/>
  <c r="T150" i="5" l="1"/>
  <c r="W150" i="5" s="1"/>
  <c r="T151" i="5" l="1"/>
  <c r="T152" i="5" l="1"/>
  <c r="T153" i="5" l="1"/>
  <c r="G110" i="5" l="1"/>
  <c r="Q159" i="5" s="1"/>
  <c r="W159" i="5" s="1"/>
  <c r="AB481" i="5" l="1"/>
  <c r="Q151" i="5"/>
  <c r="W151" i="5" s="1"/>
  <c r="AF150" i="5"/>
  <c r="AF159" i="5"/>
  <c r="AB519" i="5"/>
  <c r="DZ29" i="3" s="1"/>
  <c r="AB522" i="5"/>
  <c r="M102" i="5"/>
  <c r="U10" i="5" s="1"/>
  <c r="AB478" i="5"/>
  <c r="AU474" i="5" s="1"/>
  <c r="AB596" i="5"/>
  <c r="L571" i="5"/>
  <c r="AB537" i="5"/>
  <c r="X457" i="5"/>
  <c r="AB599" i="5"/>
  <c r="AM662" i="5"/>
  <c r="E670" i="5"/>
  <c r="AB623" i="5"/>
  <c r="Q156" i="5" l="1"/>
  <c r="Q158" i="5" s="1"/>
  <c r="AF151" i="5"/>
  <c r="Q152" i="5"/>
  <c r="Q153" i="5" s="1"/>
  <c r="ER29" i="3"/>
  <c r="EE69" i="3"/>
  <c r="AU515" i="5"/>
  <c r="AS517" i="5"/>
  <c r="AU514" i="5"/>
  <c r="AB516" i="5"/>
  <c r="AB593" i="5"/>
  <c r="AZ29" i="3"/>
  <c r="BR29" i="3" s="1"/>
  <c r="BD572" i="5"/>
  <c r="AU572" i="5"/>
  <c r="AB475" i="5"/>
  <c r="AS476" i="5"/>
  <c r="AU473" i="5"/>
  <c r="CM29" i="3"/>
  <c r="AB539" i="5"/>
  <c r="AB543" i="5"/>
  <c r="AB540" i="5"/>
  <c r="AZ28" i="3"/>
  <c r="AB626" i="5"/>
  <c r="AB630" i="5" s="1"/>
  <c r="AB629" i="5"/>
  <c r="AB625" i="5"/>
  <c r="W158" i="5" l="1"/>
  <c r="AF158" i="5" s="1"/>
  <c r="BE69" i="3"/>
  <c r="AB545" i="5"/>
  <c r="BR28" i="3"/>
  <c r="CM28" i="3"/>
  <c r="AZ32" i="3"/>
  <c r="BE67" i="3"/>
  <c r="DE29" i="3"/>
  <c r="CR69" i="3"/>
  <c r="AB632" i="5"/>
  <c r="AB631" i="5"/>
  <c r="L572" i="5"/>
  <c r="AB633" i="5" l="1"/>
  <c r="BR31" i="3"/>
  <c r="BR30" i="3"/>
  <c r="BR38" i="3"/>
  <c r="BE70" i="3"/>
  <c r="BE88" i="3" s="1"/>
  <c r="AZ33" i="3"/>
  <c r="BE75" i="3"/>
  <c r="BE73" i="3"/>
  <c r="X572" i="5"/>
  <c r="P577" i="5" s="1"/>
  <c r="P574" i="5"/>
  <c r="CM32" i="3"/>
  <c r="DE28" i="3"/>
  <c r="DZ28" i="3" s="1"/>
  <c r="CR67" i="3"/>
  <c r="EE67" i="3" l="1"/>
  <c r="DZ32" i="3"/>
  <c r="ER28" i="3"/>
  <c r="BE74" i="3"/>
  <c r="BE76" i="3" s="1"/>
  <c r="BE77" i="3" s="1"/>
  <c r="BE78" i="3" s="1"/>
  <c r="BR32" i="3"/>
  <c r="AS108" i="3" s="1"/>
  <c r="AO108" i="3" s="1"/>
  <c r="BR34" i="3" s="1"/>
  <c r="BR35" i="3" s="1"/>
  <c r="BR36" i="3" s="1"/>
  <c r="BR39" i="3" s="1"/>
  <c r="DE31" i="3"/>
  <c r="DE30" i="3"/>
  <c r="DE38" i="3"/>
  <c r="CM33" i="3"/>
  <c r="CR70" i="3"/>
  <c r="CR88" i="3" s="1"/>
  <c r="CR75" i="3"/>
  <c r="CR73" i="3"/>
  <c r="ER30" i="3" l="1"/>
  <c r="ER31" i="3"/>
  <c r="EE70" i="3"/>
  <c r="EE88" i="3" s="1"/>
  <c r="DZ33" i="3"/>
  <c r="ER38" i="3"/>
  <c r="EE73" i="3"/>
  <c r="EE75" i="3"/>
  <c r="CR74" i="3"/>
  <c r="CR76" i="3" s="1"/>
  <c r="CR77" i="3" s="1"/>
  <c r="CR78" i="3" s="1"/>
  <c r="CP80" i="3" s="1"/>
  <c r="DE32" i="3"/>
  <c r="CF108" i="3" s="1"/>
  <c r="CB108" i="3" s="1"/>
  <c r="DE34" i="3" s="1"/>
  <c r="DE35" i="3" s="1"/>
  <c r="DE36" i="3" s="1"/>
  <c r="DE39" i="3" s="1"/>
  <c r="BC80" i="3"/>
  <c r="BE95" i="3"/>
  <c r="ER32" i="3" l="1"/>
  <c r="DS108" i="3" s="1"/>
  <c r="EE74" i="3"/>
  <c r="EE76" i="3" s="1"/>
  <c r="EE77" i="3" s="1"/>
  <c r="EE78" i="3" s="1"/>
  <c r="CR95" i="3"/>
  <c r="DO108" i="3" l="1"/>
  <c r="ER34" i="3" s="1"/>
  <c r="ER35" i="3" s="1"/>
  <c r="ER36" i="3" s="1"/>
  <c r="ER39" i="3" s="1"/>
  <c r="EC80" i="3"/>
  <c r="EE95" i="3"/>
  <c r="T113" i="5" l="1"/>
  <c r="AB388" i="5" l="1"/>
  <c r="AB385" i="5" s="1"/>
  <c r="AH385" i="5" s="1"/>
  <c r="AB391" i="5"/>
  <c r="N149" i="5"/>
  <c r="W149" i="5" s="1"/>
  <c r="AS39" i="5"/>
  <c r="U31" i="5" s="1"/>
  <c r="Z149" i="5"/>
  <c r="Z113" i="5"/>
  <c r="V464" i="5" s="1"/>
  <c r="Q673" i="5"/>
  <c r="AW386" i="5"/>
  <c r="AB369" i="5"/>
  <c r="N155" i="5"/>
  <c r="W155" i="5" s="1"/>
  <c r="N152" i="5"/>
  <c r="Z152" i="5" s="1"/>
  <c r="AT388" i="5"/>
  <c r="Z155" i="5"/>
  <c r="AB419" i="5"/>
  <c r="M28" i="3"/>
  <c r="O457" i="5" l="1"/>
  <c r="AF149" i="5"/>
  <c r="U33" i="5"/>
  <c r="U32" i="5"/>
  <c r="Z154" i="5"/>
  <c r="AA103" i="5"/>
  <c r="Z157" i="5"/>
  <c r="N153" i="5"/>
  <c r="W153" i="5" s="1"/>
  <c r="Y499" i="5"/>
  <c r="Z156" i="5"/>
  <c r="AF155" i="5"/>
  <c r="Y673" i="5"/>
  <c r="AB220" i="5"/>
  <c r="AB258" i="5" s="1"/>
  <c r="AB274" i="5" s="1"/>
  <c r="AB290" i="5" s="1"/>
  <c r="N156" i="5"/>
  <c r="Z153" i="5"/>
  <c r="T468" i="5"/>
  <c r="N154" i="5"/>
  <c r="W154" i="5" s="1"/>
  <c r="AB422" i="5"/>
  <c r="AB426" i="5" s="1"/>
  <c r="AB421" i="5"/>
  <c r="AB425" i="5"/>
  <c r="R67" i="3"/>
  <c r="AE28" i="3"/>
  <c r="M32" i="3"/>
  <c r="W152" i="5"/>
  <c r="AU364" i="5"/>
  <c r="AB372" i="5"/>
  <c r="M29" i="3"/>
  <c r="AU366" i="5"/>
  <c r="AB366" i="5"/>
  <c r="AU348" i="5" l="1"/>
  <c r="K20" i="3" s="1"/>
  <c r="AE26" i="3" s="1"/>
  <c r="R85" i="3" s="1"/>
  <c r="AA457" i="5"/>
  <c r="AL457" i="5"/>
  <c r="O130" i="5"/>
  <c r="AF154" i="5"/>
  <c r="W130" i="5"/>
  <c r="Q157" i="5"/>
  <c r="W157" i="5"/>
  <c r="W156" i="5"/>
  <c r="N157" i="5"/>
  <c r="AF153" i="5"/>
  <c r="AF152" i="5"/>
  <c r="R75" i="3"/>
  <c r="AB428" i="5"/>
  <c r="AB427" i="5"/>
  <c r="M33" i="3"/>
  <c r="AE38" i="3"/>
  <c r="R70" i="3"/>
  <c r="R74" i="3" s="1"/>
  <c r="AE29" i="3"/>
  <c r="R69" i="3"/>
  <c r="R73" i="3" s="1"/>
  <c r="AE31" i="3"/>
  <c r="AE30" i="3"/>
  <c r="N146" i="5" l="1"/>
  <c r="W146" i="5" s="1"/>
  <c r="O135" i="5"/>
  <c r="L136" i="5" s="1"/>
  <c r="Q145" i="5" s="1"/>
  <c r="L185" i="5"/>
  <c r="L186" i="5"/>
  <c r="AF157" i="5"/>
  <c r="AF156" i="5"/>
  <c r="Z144" i="5"/>
  <c r="L131" i="5"/>
  <c r="AE32" i="3"/>
  <c r="F108" i="3" s="1"/>
  <c r="B108" i="3" s="1"/>
  <c r="AE34" i="3" s="1"/>
  <c r="AE35" i="3" s="1"/>
  <c r="AE36" i="3" s="1"/>
  <c r="AE39" i="3" s="1"/>
  <c r="AE42" i="3" s="1"/>
  <c r="AE43" i="3" s="1"/>
  <c r="R76" i="3"/>
  <c r="R77" i="3" s="1"/>
  <c r="R78" i="3" s="1"/>
  <c r="R95" i="3" s="1"/>
  <c r="R88" i="3"/>
  <c r="R89" i="3" s="1"/>
  <c r="AB429" i="5"/>
  <c r="AJ350" i="5" l="1"/>
  <c r="AU347" i="5"/>
  <c r="AJ347" i="5"/>
  <c r="AY358" i="5"/>
  <c r="Y381" i="5"/>
  <c r="O186" i="5"/>
  <c r="AB417" i="5"/>
  <c r="AM421" i="5" s="1"/>
  <c r="O185" i="5"/>
  <c r="W160" i="5"/>
  <c r="L184" i="5" s="1"/>
  <c r="Y361" i="5"/>
  <c r="AL111" i="5"/>
  <c r="W144" i="5"/>
  <c r="AF146" i="5"/>
  <c r="AI457" i="5"/>
  <c r="K18" i="3"/>
  <c r="M26" i="3" s="1"/>
  <c r="AE40" i="3"/>
  <c r="AE41" i="3" s="1"/>
  <c r="P80" i="3"/>
  <c r="R100" i="3"/>
  <c r="AG184" i="5" l="1"/>
  <c r="AB389" i="5"/>
  <c r="AH394" i="5" s="1"/>
  <c r="AB387" i="5"/>
  <c r="AH388" i="5" s="1"/>
  <c r="L203" i="5"/>
  <c r="L204" i="5"/>
  <c r="L202" i="5"/>
  <c r="L459" i="5"/>
  <c r="BH459" i="5"/>
  <c r="AB432" i="5"/>
  <c r="AM446" i="5" s="1"/>
  <c r="AB430" i="5"/>
  <c r="AF160" i="5"/>
  <c r="O184" i="5" s="1"/>
  <c r="W161" i="5"/>
  <c r="L238" i="5"/>
  <c r="AJ184" i="5"/>
  <c r="L239" i="5"/>
  <c r="L237" i="5"/>
  <c r="AU459" i="5"/>
  <c r="M36" i="3"/>
  <c r="M37" i="3" s="1"/>
  <c r="M34" i="3"/>
  <c r="M35" i="3" s="1"/>
  <c r="AB368" i="5"/>
  <c r="AH369" i="5" s="1"/>
  <c r="AB370" i="5"/>
  <c r="AH375" i="5" s="1"/>
  <c r="AH366" i="5"/>
  <c r="AF144" i="5"/>
  <c r="BJ207" i="5"/>
  <c r="AG185" i="5"/>
  <c r="AG186" i="5"/>
  <c r="S102" i="3"/>
  <c r="W102" i="3" s="1"/>
  <c r="AB437" i="5" l="1"/>
  <c r="AB440" i="5"/>
  <c r="AB436" i="5"/>
  <c r="AB439" i="5"/>
  <c r="AB441" i="5"/>
  <c r="AB443" i="5" s="1"/>
  <c r="AB445" i="5"/>
  <c r="AJ185" i="5"/>
  <c r="BP30" i="5" s="1"/>
  <c r="AJ186" i="5"/>
  <c r="BP31" i="5" s="1"/>
  <c r="O204" i="5"/>
  <c r="O203" i="5"/>
  <c r="O202" i="5"/>
  <c r="O211" i="5" s="1"/>
  <c r="AB444" i="5"/>
  <c r="O214" i="5"/>
  <c r="W211" i="5"/>
  <c r="O268" i="5"/>
  <c r="W265" i="5"/>
  <c r="O310" i="5"/>
  <c r="O311" i="5" s="1"/>
  <c r="BK206" i="5"/>
  <c r="BO206" i="5" s="1"/>
  <c r="W249" i="5"/>
  <c r="O252" i="5"/>
  <c r="T186" i="5"/>
  <c r="Y186" i="5" s="1"/>
  <c r="T185" i="5"/>
  <c r="Y185" i="5" s="1"/>
  <c r="T238" i="5"/>
  <c r="S265" i="5" s="1"/>
  <c r="BO203" i="5"/>
  <c r="BH205" i="5" s="1"/>
  <c r="T203" i="5"/>
  <c r="T239" i="5"/>
  <c r="S281" i="5" s="1"/>
  <c r="T237" i="5"/>
  <c r="S249" i="5" s="1"/>
  <c r="T184" i="5"/>
  <c r="T204" i="5"/>
  <c r="T202" i="5"/>
  <c r="S211" i="5" s="1"/>
  <c r="L470" i="5"/>
  <c r="L468" i="5"/>
  <c r="AI463" i="5"/>
  <c r="O284" i="5"/>
  <c r="W281" i="5"/>
  <c r="I293" i="5"/>
  <c r="BP29" i="5"/>
  <c r="O238" i="5"/>
  <c r="O265" i="5" s="1"/>
  <c r="O237" i="5"/>
  <c r="O249" i="5" s="1"/>
  <c r="AF161" i="5"/>
  <c r="BO202" i="5" s="1"/>
  <c r="BH204" i="5" s="1"/>
  <c r="O239" i="5"/>
  <c r="O281" i="5" s="1"/>
  <c r="AB442" i="5" l="1"/>
  <c r="BO204" i="5"/>
  <c r="BS204" i="5" s="1"/>
  <c r="AB446" i="5"/>
  <c r="AE249" i="5"/>
  <c r="U251" i="5" s="1"/>
  <c r="AE251" i="5" s="1"/>
  <c r="W252" i="5" s="1"/>
  <c r="W254" i="5" s="1"/>
  <c r="AB185" i="5"/>
  <c r="BH30" i="5" s="1"/>
  <c r="AB186" i="5"/>
  <c r="BH31" i="5" s="1"/>
  <c r="AE211" i="5"/>
  <c r="U213" i="5" s="1"/>
  <c r="AE213" i="5" s="1"/>
  <c r="W214" i="5" s="1"/>
  <c r="W216" i="5" s="1"/>
  <c r="AE265" i="5"/>
  <c r="U267" i="5" s="1"/>
  <c r="AE267" i="5" s="1"/>
  <c r="W268" i="5" s="1"/>
  <c r="W270" i="5" s="1"/>
  <c r="Y184" i="5"/>
  <c r="BV204" i="5"/>
  <c r="O254" i="5"/>
  <c r="O270" i="5"/>
  <c r="O286" i="5"/>
  <c r="BS206" i="5"/>
  <c r="BV206" i="5"/>
  <c r="AE281" i="5"/>
  <c r="U283" i="5" s="1"/>
  <c r="AE283" i="5" s="1"/>
  <c r="W284" i="5" s="1"/>
  <c r="W286" i="5" s="1"/>
  <c r="R315" i="5"/>
  <c r="AD327" i="5"/>
  <c r="T328" i="5" s="1"/>
  <c r="O216" i="5"/>
  <c r="AE214" i="5" l="1"/>
  <c r="AL215" i="5" s="1"/>
  <c r="AE216" i="5"/>
  <c r="X218" i="5" s="1"/>
  <c r="X220" i="5" s="1"/>
  <c r="AE254" i="5"/>
  <c r="X256" i="5" s="1"/>
  <c r="X258" i="5" s="1"/>
  <c r="AE270" i="5"/>
  <c r="X272" i="5" s="1"/>
  <c r="X274" i="5" s="1"/>
  <c r="AE252" i="5"/>
  <c r="AB184" i="5"/>
  <c r="BH29" i="5" s="1"/>
  <c r="AE268" i="5"/>
  <c r="AE284" i="5"/>
  <c r="T333" i="5"/>
  <c r="T336" i="5" s="1"/>
  <c r="T329" i="5"/>
  <c r="T331" i="5" s="1"/>
  <c r="AE286" i="5"/>
  <c r="BC445" i="5" l="1"/>
  <c r="O256" i="5"/>
  <c r="T493" i="5"/>
  <c r="G117" i="5"/>
  <c r="AL214" i="5"/>
  <c r="T218" i="5"/>
  <c r="T220" i="5" s="1"/>
  <c r="O218" i="5"/>
  <c r="BG563" i="5"/>
  <c r="BD573" i="5" s="1"/>
  <c r="BJ493" i="5"/>
  <c r="BJ498" i="5" s="1"/>
  <c r="O272" i="5"/>
  <c r="O274" i="5" s="1"/>
  <c r="AW493" i="5"/>
  <c r="AW498" i="5" s="1"/>
  <c r="AD117" i="5"/>
  <c r="AL217" i="5"/>
  <c r="AL216" i="5"/>
  <c r="T272" i="5"/>
  <c r="T274" i="5" s="1"/>
  <c r="AO466" i="5"/>
  <c r="S461" i="5" s="1"/>
  <c r="R464" i="5" s="1"/>
  <c r="R465" i="5" s="1"/>
  <c r="T256" i="5"/>
  <c r="T258" i="5" s="1"/>
  <c r="AE571" i="5"/>
  <c r="L574" i="5" s="1"/>
  <c r="U574" i="5" s="1"/>
  <c r="AD576" i="5" s="1"/>
  <c r="O288" i="5"/>
  <c r="O290" i="5" s="1"/>
  <c r="AS563" i="5"/>
  <c r="AU573" i="5" s="1"/>
  <c r="T288" i="5"/>
  <c r="T290" i="5" s="1"/>
  <c r="O258" i="5"/>
  <c r="O220" i="5"/>
  <c r="X288" i="5"/>
  <c r="X290" i="5" s="1"/>
  <c r="BI485" i="5"/>
  <c r="BR445" i="5"/>
  <c r="BX485" i="5"/>
  <c r="T495" i="5" l="1"/>
  <c r="T497" i="5" s="1"/>
  <c r="AH516" i="5" s="1"/>
  <c r="AJ493" i="5"/>
  <c r="AE220" i="5"/>
  <c r="BJ496" i="5"/>
  <c r="AE218" i="5"/>
  <c r="R298" i="5" s="1"/>
  <c r="O299" i="5" s="1"/>
  <c r="O303" i="5" s="1"/>
  <c r="O304" i="5" s="1"/>
  <c r="V315" i="5" s="1"/>
  <c r="O317" i="5" s="1"/>
  <c r="U317" i="5" s="1"/>
  <c r="AE272" i="5"/>
  <c r="BC562" i="5" s="1"/>
  <c r="AU574" i="5" s="1"/>
  <c r="AU575" i="5" s="1"/>
  <c r="AE256" i="5"/>
  <c r="AO570" i="5" s="1"/>
  <c r="L577" i="5" s="1"/>
  <c r="U577" i="5" s="1"/>
  <c r="AN575" i="5" s="1"/>
  <c r="R583" i="5"/>
  <c r="R584" i="5" s="1"/>
  <c r="AE274" i="5"/>
  <c r="AS446" i="5" s="1"/>
  <c r="AY486" i="5" s="1"/>
  <c r="AE258" i="5"/>
  <c r="AE467" i="5" s="1"/>
  <c r="O461" i="5" s="1"/>
  <c r="O580" i="5"/>
  <c r="AW496" i="5"/>
  <c r="T499" i="5"/>
  <c r="T501" i="5" s="1"/>
  <c r="AE288" i="5"/>
  <c r="BQ562" i="5" s="1"/>
  <c r="BD574" i="5" s="1"/>
  <c r="AE290" i="5"/>
  <c r="L464" i="5" l="1"/>
  <c r="L462" i="5"/>
  <c r="P468" i="5" s="1"/>
  <c r="X468" i="5" s="1"/>
  <c r="AB535" i="5" s="1"/>
  <c r="AB544" i="5" s="1"/>
  <c r="AB546" i="5" s="1"/>
  <c r="AB547" i="5" s="1"/>
  <c r="AB550" i="5" s="1"/>
  <c r="AB558" i="5" s="1"/>
  <c r="AU461" i="5"/>
  <c r="AW495" i="5" s="1"/>
  <c r="DX18" i="3" s="1"/>
  <c r="DZ26" i="3" s="1"/>
  <c r="DZ34" i="3" s="1"/>
  <c r="DZ35" i="3" s="1"/>
  <c r="L583" i="5"/>
  <c r="L584" i="5" s="1"/>
  <c r="AU576" i="5"/>
  <c r="AU577" i="5" s="1"/>
  <c r="CK18" i="3" s="1"/>
  <c r="CM26" i="3" s="1"/>
  <c r="CM36" i="3" s="1"/>
  <c r="CM37" i="3" s="1"/>
  <c r="S580" i="5"/>
  <c r="L581" i="5" s="1"/>
  <c r="AB621" i="5" s="1"/>
  <c r="AU460" i="5"/>
  <c r="BD576" i="5"/>
  <c r="BD575" i="5"/>
  <c r="BN486" i="5"/>
  <c r="BH446" i="5"/>
  <c r="AB520" i="5"/>
  <c r="AH525" i="5" s="1"/>
  <c r="AB518" i="5"/>
  <c r="AH519" i="5" s="1"/>
  <c r="L465" i="5" l="1"/>
  <c r="L466" i="5"/>
  <c r="L585" i="5"/>
  <c r="P587" i="5" s="1"/>
  <c r="P470" i="5"/>
  <c r="DZ36" i="3"/>
  <c r="DZ37" i="3" s="1"/>
  <c r="AU463" i="5"/>
  <c r="AX18" i="3" s="1"/>
  <c r="AZ26" i="3" s="1"/>
  <c r="AZ36" i="3" s="1"/>
  <c r="AZ37" i="3" s="1"/>
  <c r="L587" i="5"/>
  <c r="AU462" i="5"/>
  <c r="CM34" i="3"/>
  <c r="CM35" i="3" s="1"/>
  <c r="BH461" i="5"/>
  <c r="BJ495" i="5" s="1"/>
  <c r="DX20" i="3" s="1"/>
  <c r="ER26" i="3" s="1"/>
  <c r="BH460" i="5"/>
  <c r="AB557" i="5"/>
  <c r="AB559" i="5"/>
  <c r="AB560" i="5" s="1"/>
  <c r="AB548" i="5"/>
  <c r="AB554" i="5"/>
  <c r="AB555" i="5" s="1"/>
  <c r="AM539" i="5"/>
  <c r="AB636" i="5"/>
  <c r="AM625" i="5"/>
  <c r="AB634" i="5"/>
  <c r="BD577" i="5"/>
  <c r="CK20" i="3" s="1"/>
  <c r="DE26" i="3" s="1"/>
  <c r="L588" i="5" l="1"/>
  <c r="AB595" i="5" s="1"/>
  <c r="AH596" i="5" s="1"/>
  <c r="T470" i="5"/>
  <c r="X470" i="5" s="1"/>
  <c r="AZ34" i="3"/>
  <c r="AZ35" i="3" s="1"/>
  <c r="AB597" i="5"/>
  <c r="AH602" i="5" s="1"/>
  <c r="AB561" i="5"/>
  <c r="AB563" i="5" s="1"/>
  <c r="BH463" i="5"/>
  <c r="AX20" i="3" s="1"/>
  <c r="BR26" i="3" s="1"/>
  <c r="BH462" i="5"/>
  <c r="AB562" i="5"/>
  <c r="CR85" i="3"/>
  <c r="CR89" i="3" s="1"/>
  <c r="CR100" i="3" s="1"/>
  <c r="CS102" i="3" s="1"/>
  <c r="CW102" i="3" s="1"/>
  <c r="DE42" i="3"/>
  <c r="DE43" i="3" s="1"/>
  <c r="DE40" i="3"/>
  <c r="DE41" i="3" s="1"/>
  <c r="AM650" i="5"/>
  <c r="AB649" i="5"/>
  <c r="AB643" i="5"/>
  <c r="AB641" i="5"/>
  <c r="AB648" i="5"/>
  <c r="AB644" i="5"/>
  <c r="AB645" i="5"/>
  <c r="AB640" i="5"/>
  <c r="ER42" i="3"/>
  <c r="ER43" i="3" s="1"/>
  <c r="ER40" i="3"/>
  <c r="ER41" i="3" s="1"/>
  <c r="EE85" i="3"/>
  <c r="EE89" i="3" s="1"/>
  <c r="EE100" i="3" s="1"/>
  <c r="EF102" i="3" s="1"/>
  <c r="AH593" i="5" l="1"/>
  <c r="AB479" i="5"/>
  <c r="AH484" i="5" s="1"/>
  <c r="AB477" i="5"/>
  <c r="AH478" i="5" s="1"/>
  <c r="AH475" i="5"/>
  <c r="AB564" i="5"/>
  <c r="AM564" i="5" s="1"/>
  <c r="EJ102" i="3"/>
  <c r="BR40" i="3"/>
  <c r="BR41" i="3" s="1"/>
  <c r="BE85" i="3"/>
  <c r="BE89" i="3" s="1"/>
  <c r="BE100" i="3" s="1"/>
  <c r="BF102" i="3" s="1"/>
  <c r="BR42" i="3"/>
  <c r="BR43" i="3" s="1"/>
  <c r="AB650" i="5"/>
  <c r="AB646" i="5"/>
  <c r="AB647" i="5"/>
  <c r="BJ102" i="3" l="1"/>
</calcChain>
</file>

<file path=xl/comments1.xml><?xml version="1.0" encoding="utf-8"?>
<comments xmlns="http://schemas.openxmlformats.org/spreadsheetml/2006/main">
  <authors>
    <author>Dinesh Choudhari</author>
  </authors>
  <commentList>
    <comment ref="F6" authorId="0" shapeId="0">
      <text>
        <r>
          <rPr>
            <b/>
            <sz val="9"/>
            <color indexed="81"/>
            <rFont val="Tahoma"/>
            <family val="2"/>
          </rPr>
          <t>Dinesh Choudhari:</t>
        </r>
        <r>
          <rPr>
            <sz val="9"/>
            <color indexed="81"/>
            <rFont val="Tahoma"/>
            <family val="2"/>
          </rPr>
          <t xml:space="preserve">
As per IRC 6:2017</t>
        </r>
      </text>
    </comment>
  </commentList>
</comments>
</file>

<file path=xl/sharedStrings.xml><?xml version="1.0" encoding="utf-8"?>
<sst xmlns="http://schemas.openxmlformats.org/spreadsheetml/2006/main" count="2201" uniqueCount="589">
  <si>
    <t>=</t>
  </si>
  <si>
    <t>m</t>
  </si>
  <si>
    <t>mm</t>
  </si>
  <si>
    <t>Designation</t>
  </si>
  <si>
    <t>W1</t>
  </si>
  <si>
    <t>W2</t>
  </si>
  <si>
    <t>W3</t>
  </si>
  <si>
    <t>W4</t>
  </si>
  <si>
    <t>Force (kN)</t>
  </si>
  <si>
    <t>Toe</t>
  </si>
  <si>
    <t>kN/m2</t>
  </si>
  <si>
    <t>kN-m</t>
  </si>
  <si>
    <t>kN</t>
  </si>
  <si>
    <t>mm2</t>
  </si>
  <si>
    <t>Stem</t>
  </si>
  <si>
    <t>Raft</t>
  </si>
  <si>
    <t>base &amp; soil</t>
  </si>
  <si>
    <t>F.S. against overturning</t>
  </si>
  <si>
    <t>F.S. against sliding</t>
  </si>
  <si>
    <t xml:space="preserve">  Depth of Foundation:-</t>
  </si>
  <si>
    <t>Minimum depth of foundation is</t>
  </si>
  <si>
    <t>x</t>
  </si>
  <si>
    <t>⁽</t>
  </si>
  <si>
    <t>-</t>
  </si>
  <si>
    <t>sin</t>
  </si>
  <si>
    <t>+</t>
  </si>
  <si>
    <t>⁾</t>
  </si>
  <si>
    <t>Keep depth =</t>
  </si>
  <si>
    <t>to accommodate thickness of base wall below the ground surface.</t>
  </si>
  <si>
    <t>a</t>
  </si>
  <si>
    <t>b</t>
  </si>
  <si>
    <t>Width of Toe slab</t>
  </si>
  <si>
    <t xml:space="preserve">Thickness of Base </t>
  </si>
  <si>
    <t>H</t>
  </si>
  <si>
    <t>Heel</t>
  </si>
  <si>
    <t>A</t>
  </si>
  <si>
    <t>B</t>
  </si>
  <si>
    <t>d</t>
  </si>
  <si>
    <t>Sr. No.</t>
  </si>
  <si>
    <t>Factor of Safety against overturning</t>
  </si>
  <si>
    <t>Distance of C.G. of vertical</t>
  </si>
  <si>
    <t>As</t>
  </si>
  <si>
    <t>&gt;</t>
  </si>
  <si>
    <t>Passive pressure Pp</t>
  </si>
  <si>
    <t>K</t>
  </si>
  <si>
    <t>p</t>
  </si>
  <si>
    <t>Ka</t>
  </si>
  <si>
    <t>Assume size of Shear key</t>
  </si>
  <si>
    <t>Total Passive pressure   =</t>
  </si>
  <si>
    <t xml:space="preserve">Weight of soil  between bottom of base </t>
  </si>
  <si>
    <t xml:space="preserve">        F.S. against sliding</t>
  </si>
  <si>
    <t>(Σu W) + Pp</t>
  </si>
  <si>
    <t>ΣP</t>
  </si>
  <si>
    <t>However , it should be noted that above passive pressure will be developed only  when a length a1 given below is available in front of the key  :</t>
  </si>
  <si>
    <t>a1</t>
  </si>
  <si>
    <t>Where,</t>
  </si>
  <si>
    <t>Ɵ</t>
  </si>
  <si>
    <t>shearing angle of passive resistance</t>
  </si>
  <si>
    <t>Kp</t>
  </si>
  <si>
    <t>Actual force to be resisted by key =</t>
  </si>
  <si>
    <t>Actual length of slab available      =</t>
  </si>
  <si>
    <t>(1.5 ΣP) - (u ΣW )</t>
  </si>
  <si>
    <t>Hence shear stress     =</t>
  </si>
  <si>
    <t>N/mm2</t>
  </si>
  <si>
    <t>Hence Bending stress    =</t>
  </si>
  <si>
    <t xml:space="preserve">Unit weight of soil </t>
  </si>
  <si>
    <t>Unit weight of backfill material</t>
  </si>
  <si>
    <t xml:space="preserve">to </t>
  </si>
  <si>
    <t>H1=</t>
  </si>
  <si>
    <t>P1</t>
  </si>
  <si>
    <t>P2</t>
  </si>
  <si>
    <t>Vertical force &amp; moment due to Dead Load</t>
  </si>
  <si>
    <t>ΣM  =</t>
  </si>
  <si>
    <t>ΣW  =</t>
  </si>
  <si>
    <t>Reinforcement Details</t>
  </si>
  <si>
    <t xml:space="preserve">mm dia. Bars @ </t>
  </si>
  <si>
    <t>Wall stability Criteria</t>
  </si>
  <si>
    <t>Safe Bearing  Capasity of soil</t>
  </si>
  <si>
    <t>Base width (B)  should be taking between 0.4 to 0.7 H.</t>
  </si>
  <si>
    <t>DESIGN NOTE</t>
  </si>
  <si>
    <t xml:space="preserve">Project </t>
  </si>
  <si>
    <t>:</t>
  </si>
  <si>
    <t>TWO LANING WITH PAVED SHOULDER OF GADCHIROLI TO MUL SECTION OF NH-930 FROM KM 189.000 TO KM 229.692 &amp; KM 232.489 TO KM 233.414 (APPROX. LENGTH-41.617 KM) IN THE STATE OF MAHARASHTRA</t>
  </si>
  <si>
    <t>FOUR LANING TO SHIKRAPUR-NHAVARA ROAD SH-55</t>
  </si>
  <si>
    <t>Owner</t>
  </si>
  <si>
    <t>MINISTRY OF ROAD TRANSPORT AND HIGHWAY 
(N.H. DIVISION, PWD, MAHARASHTRA)</t>
  </si>
  <si>
    <t>GOVERNMENT OF MAHARASHTRA PUBLIC WORKS REGION, PUNE.</t>
  </si>
  <si>
    <t>Contractor</t>
  </si>
  <si>
    <t>M/S DINESHCHANDRA. R. AGGRAWAL INFRACON PVT. LTD., AHEMEDABAD 380015. GUJRAT, INDIA</t>
  </si>
  <si>
    <t>KALYAN TOLL INFRASTRUCTURE LIMITED</t>
  </si>
  <si>
    <t>Title</t>
  </si>
  <si>
    <t>Design of Box culvert (Reconstruction), Proposed CH.81+148</t>
  </si>
  <si>
    <t>Document No.</t>
  </si>
  <si>
    <t>Project N0</t>
  </si>
  <si>
    <t>E/P</t>
  </si>
  <si>
    <t>Doc. Type</t>
  </si>
  <si>
    <t>Sr.No.</t>
  </si>
  <si>
    <t>Revision</t>
  </si>
  <si>
    <t>Date of Issue</t>
  </si>
  <si>
    <t>Rev. No.</t>
  </si>
  <si>
    <t>Purpose / Remark</t>
  </si>
  <si>
    <t>Prepared by</t>
  </si>
  <si>
    <t>Reviewed by</t>
  </si>
  <si>
    <t>Approved by</t>
  </si>
  <si>
    <t>Initials</t>
  </si>
  <si>
    <t>Sign</t>
  </si>
  <si>
    <t>K &amp; J PROJECTS PVT. LTD.
Shivam, 16, NIT Layout
Ravi Nagar, Nagpur-440033
Phone : 0712-2556402 Fax : 0712-2556403
Email : contact@knjprojects.com
Website : www.knjprojects.com</t>
  </si>
  <si>
    <t>INDEX</t>
  </si>
  <si>
    <t>SR NO</t>
  </si>
  <si>
    <t>DESCRIPTION</t>
  </si>
  <si>
    <t xml:space="preserve">Introduction </t>
  </si>
  <si>
    <t>PROJECT</t>
  </si>
  <si>
    <t>TITLE</t>
  </si>
  <si>
    <t>INTRODUCTION :-</t>
  </si>
  <si>
    <t>REFERENCE CODES :-</t>
  </si>
  <si>
    <t>Standards specifications and codes of practice for road bridges of the IRC whether applicable are followed. The following codes have been generally followed with their latest Amendments:</t>
  </si>
  <si>
    <t>STANDARD SPECIFICATION AND CODE OF PRACTICE FOR  ROAD BRIDGE SECTION : II LOADS AND STRESSES</t>
  </si>
  <si>
    <t>IRC 112:2011</t>
  </si>
  <si>
    <t>CODE OF PRACTICE FOR CONCRETE ROAD BRIDGES</t>
  </si>
  <si>
    <t>IRC  78-2014</t>
  </si>
  <si>
    <t>STANDARD SPECIFICATION AND CODE OF PRACTICE FOR ROAD BRIDGES</t>
  </si>
  <si>
    <r>
      <rPr>
        <sz val="11"/>
        <color indexed="8"/>
        <rFont val="Times New Roman"/>
        <family val="1"/>
      </rPr>
      <t>Grade of steel, f</t>
    </r>
    <r>
      <rPr>
        <vertAlign val="subscript"/>
        <sz val="11"/>
        <color indexed="8"/>
        <rFont val="Times New Roman"/>
        <family val="1"/>
      </rPr>
      <t>yk</t>
    </r>
  </si>
  <si>
    <r>
      <rPr>
        <sz val="11"/>
        <color indexed="8"/>
        <rFont val="Times New Roman"/>
        <family val="1"/>
      </rPr>
      <t>Design tensile reinforcement of steel, f</t>
    </r>
    <r>
      <rPr>
        <vertAlign val="subscript"/>
        <sz val="11"/>
        <color indexed="8"/>
        <rFont val="Times New Roman"/>
        <family val="1"/>
      </rPr>
      <t>yd</t>
    </r>
  </si>
  <si>
    <t>Grade of concrete, fck</t>
  </si>
  <si>
    <t>(for basic &amp; seismic combination)</t>
  </si>
  <si>
    <t>(for accidental combination)</t>
  </si>
  <si>
    <t>Factor, α</t>
  </si>
  <si>
    <t>….As per IRC 112-2011, clause 6.4.2.8</t>
  </si>
  <si>
    <r>
      <t>Design compressive strength of concrete, f</t>
    </r>
    <r>
      <rPr>
        <vertAlign val="subscript"/>
        <sz val="11"/>
        <color indexed="8"/>
        <rFont val="Times New Roman"/>
        <family val="1"/>
      </rPr>
      <t>cd</t>
    </r>
  </si>
  <si>
    <r>
      <t>αf</t>
    </r>
    <r>
      <rPr>
        <vertAlign val="subscript"/>
        <sz val="11"/>
        <color indexed="8"/>
        <rFont val="Times New Roman"/>
        <family val="1"/>
      </rPr>
      <t>ck</t>
    </r>
  </si>
  <si>
    <r>
      <t>ϒ</t>
    </r>
    <r>
      <rPr>
        <vertAlign val="subscript"/>
        <sz val="11"/>
        <color indexed="8"/>
        <rFont val="Times New Roman"/>
        <family val="1"/>
      </rPr>
      <t>m</t>
    </r>
  </si>
  <si>
    <r>
      <rPr>
        <sz val="11"/>
        <color indexed="8"/>
        <rFont val="Times New Roman"/>
        <family val="1"/>
      </rPr>
      <t>Mean axial tensile strength of concrete, f</t>
    </r>
    <r>
      <rPr>
        <vertAlign val="subscript"/>
        <sz val="11"/>
        <color indexed="8"/>
        <rFont val="Times New Roman"/>
        <family val="1"/>
      </rPr>
      <t>ctm</t>
    </r>
  </si>
  <si>
    <t>….As per IRC 112-2011, Annexure A2, eq. A2-2</t>
  </si>
  <si>
    <t xml:space="preserve">Elastic modulus of concrete, Ecm </t>
  </si>
  <si>
    <t xml:space="preserve">Elastic modulus of steel, Es </t>
  </si>
  <si>
    <t>Factor, η</t>
  </si>
  <si>
    <t>….As per IRC 112-2011, clause A2.9</t>
  </si>
  <si>
    <t>Factor, λ</t>
  </si>
  <si>
    <r>
      <t>ηf</t>
    </r>
    <r>
      <rPr>
        <vertAlign val="subscript"/>
        <sz val="11"/>
        <color indexed="8"/>
        <rFont val="Times New Roman"/>
        <family val="1"/>
      </rPr>
      <t>cd</t>
    </r>
  </si>
  <si>
    <t>λx</t>
  </si>
  <si>
    <t>Lever arm of internal forces, z</t>
  </si>
  <si>
    <t xml:space="preserve"> (1-λx/2)d</t>
  </si>
  <si>
    <t>Compressive strength of c/s, Fc</t>
  </si>
  <si>
    <t>….As per IRC 112-2011, table 6.5</t>
  </si>
  <si>
    <r>
      <t>Limiting neutral axis depth ratio,  x</t>
    </r>
    <r>
      <rPr>
        <vertAlign val="subscript"/>
        <sz val="11"/>
        <color indexed="8"/>
        <rFont val="Times New Roman"/>
        <family val="1"/>
      </rPr>
      <t>u,max</t>
    </r>
    <r>
      <rPr>
        <sz val="11"/>
        <color indexed="8"/>
        <rFont val="Times New Roman"/>
        <family val="1"/>
      </rPr>
      <t xml:space="preserve"> / d</t>
    </r>
  </si>
  <si>
    <r>
      <t>…..x</t>
    </r>
    <r>
      <rPr>
        <vertAlign val="subscript"/>
        <sz val="11"/>
        <color indexed="8"/>
        <rFont val="Times New Roman"/>
        <family val="1"/>
      </rPr>
      <t>u,max</t>
    </r>
    <r>
      <rPr>
        <sz val="11"/>
        <color indexed="8"/>
        <rFont val="Times New Roman"/>
        <family val="1"/>
      </rPr>
      <t xml:space="preserve"> / d = Ɛcu3/(Ɛcu3+Ɛst)</t>
    </r>
  </si>
  <si>
    <t>Concrete grade</t>
  </si>
  <si>
    <t>Steel grade</t>
  </si>
  <si>
    <t>IRC 112-2011, Table 6.5, Ecm</t>
  </si>
  <si>
    <r>
      <t>Partial safety for concrete, ϒ</t>
    </r>
    <r>
      <rPr>
        <vertAlign val="subscript"/>
        <sz val="11"/>
        <color indexed="8"/>
        <rFont val="Times New Roman"/>
        <family val="1"/>
      </rPr>
      <t>m</t>
    </r>
  </si>
  <si>
    <t>ΣW</t>
  </si>
  <si>
    <t xml:space="preserve">45 + ɸ/2 </t>
  </si>
  <si>
    <t>….Where, Fc = λx*ηfcd*(1-λx/2)</t>
  </si>
  <si>
    <r>
      <t>Ultimate compressive strein in concrete, Ɛ</t>
    </r>
    <r>
      <rPr>
        <vertAlign val="subscript"/>
        <sz val="11"/>
        <color theme="1"/>
        <rFont val="Times New Roman"/>
        <family val="1"/>
      </rPr>
      <t>u3</t>
    </r>
  </si>
  <si>
    <t>Ultimate compressive strein in concrete, Ɛst</t>
  </si>
  <si>
    <t>…Ɛst= fyd/1.15/Es(IRC 112.2011,clause 6.2.2)</t>
  </si>
  <si>
    <r>
      <t>kN/m</t>
    </r>
    <r>
      <rPr>
        <vertAlign val="superscript"/>
        <sz val="11"/>
        <rFont val="Times New Roman"/>
        <family val="1"/>
      </rPr>
      <t>3</t>
    </r>
  </si>
  <si>
    <r>
      <t>kN/m</t>
    </r>
    <r>
      <rPr>
        <vertAlign val="superscript"/>
        <sz val="11"/>
        <rFont val="Times New Roman"/>
        <family val="1"/>
      </rPr>
      <t>2</t>
    </r>
  </si>
  <si>
    <t xml:space="preserve">a tanƟ </t>
  </si>
  <si>
    <t xml:space="preserve">a tan(45 + ɸ/2) </t>
  </si>
  <si>
    <t>Base width of footing (B)</t>
  </si>
  <si>
    <t>to</t>
  </si>
  <si>
    <r>
      <t>Width of toe slab (b</t>
    </r>
    <r>
      <rPr>
        <vertAlign val="subscript"/>
        <sz val="11"/>
        <color theme="1"/>
        <rFont val="Times New Roman"/>
        <family val="1"/>
      </rPr>
      <t>1</t>
    </r>
    <r>
      <rPr>
        <sz val="11"/>
        <color theme="1"/>
        <rFont val="Times New Roman"/>
        <family val="1"/>
      </rPr>
      <t>)</t>
    </r>
  </si>
  <si>
    <r>
      <t>b</t>
    </r>
    <r>
      <rPr>
        <vertAlign val="subscript"/>
        <sz val="11"/>
        <color theme="1"/>
        <rFont val="Times New Roman"/>
        <family val="1"/>
      </rPr>
      <t>1</t>
    </r>
  </si>
  <si>
    <r>
      <t>b</t>
    </r>
    <r>
      <rPr>
        <vertAlign val="subscript"/>
        <sz val="11"/>
        <color theme="1"/>
        <rFont val="Times New Roman"/>
        <family val="1"/>
      </rPr>
      <t>2</t>
    </r>
  </si>
  <si>
    <r>
      <t>Top width of stem (b</t>
    </r>
    <r>
      <rPr>
        <vertAlign val="subscript"/>
        <sz val="11"/>
        <color theme="1"/>
        <rFont val="Times New Roman"/>
        <family val="1"/>
      </rPr>
      <t>3</t>
    </r>
    <r>
      <rPr>
        <sz val="11"/>
        <color theme="1"/>
        <rFont val="Times New Roman"/>
        <family val="1"/>
      </rPr>
      <t>)</t>
    </r>
  </si>
  <si>
    <r>
      <t>b</t>
    </r>
    <r>
      <rPr>
        <vertAlign val="subscript"/>
        <sz val="11"/>
        <color theme="1"/>
        <rFont val="Times New Roman"/>
        <family val="1"/>
      </rPr>
      <t>3</t>
    </r>
  </si>
  <si>
    <r>
      <t>Base width of stem (b</t>
    </r>
    <r>
      <rPr>
        <vertAlign val="subscript"/>
        <sz val="11"/>
        <color theme="1"/>
        <rFont val="Times New Roman"/>
        <family val="1"/>
      </rPr>
      <t>4</t>
    </r>
    <r>
      <rPr>
        <sz val="11"/>
        <color theme="1"/>
        <rFont val="Times New Roman"/>
        <family val="1"/>
      </rPr>
      <t>)</t>
    </r>
  </si>
  <si>
    <r>
      <t>b</t>
    </r>
    <r>
      <rPr>
        <vertAlign val="subscript"/>
        <sz val="11"/>
        <color theme="1"/>
        <rFont val="Times New Roman"/>
        <family val="1"/>
      </rPr>
      <t>4</t>
    </r>
  </si>
  <si>
    <t>Active case :-</t>
  </si>
  <si>
    <r>
      <t xml:space="preserve">Angle of internal friction of soil, </t>
    </r>
    <r>
      <rPr>
        <sz val="11"/>
        <color theme="1"/>
        <rFont val="Calibri"/>
        <family val="2"/>
      </rPr>
      <t>ɸ</t>
    </r>
  </si>
  <si>
    <r>
      <t xml:space="preserve">Slope of earth fill, </t>
    </r>
    <r>
      <rPr>
        <sz val="11"/>
        <color theme="1"/>
        <rFont val="Calibri"/>
        <family val="2"/>
      </rPr>
      <t>β</t>
    </r>
  </si>
  <si>
    <t>Degree</t>
  </si>
  <si>
    <t>Horizonatl force &amp; moment due to Dead Load</t>
  </si>
  <si>
    <t>Backfill pressure</t>
  </si>
  <si>
    <t>Surcharge pressure</t>
  </si>
  <si>
    <t>Unit weight of concrete</t>
  </si>
  <si>
    <r>
      <t>M</t>
    </r>
    <r>
      <rPr>
        <vertAlign val="subscript"/>
        <sz val="11"/>
        <color theme="1"/>
        <rFont val="Times New Roman"/>
        <family val="1"/>
      </rPr>
      <t>r</t>
    </r>
  </si>
  <si>
    <r>
      <t>M</t>
    </r>
    <r>
      <rPr>
        <vertAlign val="subscript"/>
        <sz val="11"/>
        <color theme="1"/>
        <rFont val="Times New Roman"/>
        <family val="1"/>
      </rPr>
      <t>o</t>
    </r>
  </si>
  <si>
    <t>Particulars</t>
  </si>
  <si>
    <t>forces from A</t>
  </si>
  <si>
    <t>/  2 )</t>
  </si>
  <si>
    <r>
      <t>kN/m</t>
    </r>
    <r>
      <rPr>
        <vertAlign val="superscript"/>
        <sz val="11"/>
        <color theme="1"/>
        <rFont val="Times New Roman"/>
        <family val="1"/>
      </rPr>
      <t>2</t>
    </r>
  </si>
  <si>
    <t xml:space="preserve">Pressure P1 @ toe </t>
  </si>
  <si>
    <t>Pressure P2 @ heel</t>
  </si>
  <si>
    <t xml:space="preserve">Pressure P @ junction of stem with toe slab </t>
  </si>
  <si>
    <t xml:space="preserve">Pressure P @ junction of stem with heel slab </t>
  </si>
  <si>
    <t>Eccentricity, e</t>
  </si>
  <si>
    <t>Lever Arm 
(m)</t>
  </si>
  <si>
    <t>Total resisting moment,</t>
  </si>
  <si>
    <t>Total overturning moment,</t>
  </si>
  <si>
    <t>Factor of Safety against sliding</t>
  </si>
  <si>
    <t>Calculation</t>
  </si>
  <si>
    <t xml:space="preserve">Moment of resistance of section </t>
  </si>
  <si>
    <t>Effective depth required,</t>
  </si>
  <si>
    <t>Effective depth provided, d</t>
  </si>
  <si>
    <t>Area of steel required</t>
  </si>
  <si>
    <t>Min % of steel as per (IRC 112-2011, clause 16.5.1.1)</t>
  </si>
  <si>
    <r>
      <t>A</t>
    </r>
    <r>
      <rPr>
        <vertAlign val="subscript"/>
        <sz val="9"/>
        <color theme="1"/>
        <rFont val="Times New Roman"/>
        <family val="1"/>
      </rPr>
      <t>s,min</t>
    </r>
    <r>
      <rPr>
        <sz val="9"/>
        <color theme="1"/>
        <rFont val="Times New Roman"/>
        <family val="1"/>
      </rPr>
      <t xml:space="preserve"> = 0.26 x (f</t>
    </r>
    <r>
      <rPr>
        <vertAlign val="subscript"/>
        <sz val="9"/>
        <color theme="1"/>
        <rFont val="Times New Roman"/>
        <family val="1"/>
      </rPr>
      <t>ctm</t>
    </r>
    <r>
      <rPr>
        <sz val="9"/>
        <color theme="1"/>
        <rFont val="Times New Roman"/>
        <family val="1"/>
      </rPr>
      <t xml:space="preserve"> / f</t>
    </r>
    <r>
      <rPr>
        <vertAlign val="subscript"/>
        <sz val="9"/>
        <color theme="1"/>
        <rFont val="Times New Roman"/>
        <family val="1"/>
      </rPr>
      <t>yk</t>
    </r>
    <r>
      <rPr>
        <sz val="9"/>
        <color theme="1"/>
        <rFont val="Times New Roman"/>
        <family val="1"/>
      </rPr>
      <t xml:space="preserve"> ) b.d not less than, 0.0013 x b.d</t>
    </r>
  </si>
  <si>
    <r>
      <t>mm</t>
    </r>
    <r>
      <rPr>
        <vertAlign val="superscript"/>
        <sz val="11"/>
        <color theme="1"/>
        <rFont val="Times New Roman"/>
        <family val="1"/>
      </rPr>
      <t>2</t>
    </r>
  </si>
  <si>
    <t>Particulars / Calculations</t>
  </si>
  <si>
    <t>@</t>
  </si>
  <si>
    <t>Bar 1</t>
  </si>
  <si>
    <t>Bar 2</t>
  </si>
  <si>
    <t>Reinforcement provided</t>
  </si>
  <si>
    <t>Distribution reinforcement min 20 % of main steel as per</t>
  </si>
  <si>
    <t>m from base</t>
  </si>
  <si>
    <t>IRC112:2011 Clause 16.6.1.1</t>
  </si>
  <si>
    <r>
      <t>M</t>
    </r>
    <r>
      <rPr>
        <vertAlign val="subscript"/>
        <sz val="11"/>
        <color theme="1"/>
        <rFont val="Times New Roman"/>
        <family val="1"/>
      </rPr>
      <t>r</t>
    </r>
    <r>
      <rPr>
        <sz val="11"/>
        <color theme="1"/>
        <rFont val="Times New Roman"/>
        <family val="1"/>
      </rPr>
      <t xml:space="preserve"> = 0.36*fck*b*Xu,max*(d-0.416*Xu,max)</t>
    </r>
  </si>
  <si>
    <t>d=(Mu/0.15fckb)^0.5</t>
  </si>
  <si>
    <t>Units</t>
  </si>
  <si>
    <t>Width of section, bw</t>
  </si>
  <si>
    <t>Overall depth, d</t>
  </si>
  <si>
    <r>
      <rPr>
        <sz val="11"/>
        <color theme="1"/>
        <rFont val="Calibri"/>
        <family val="2"/>
        <scheme val="minor"/>
      </rPr>
      <t>v=0.6[1-(fck/310)]</t>
    </r>
    <r>
      <rPr>
        <sz val="9"/>
        <color theme="1"/>
        <rFont val="Calibri"/>
        <family val="2"/>
        <scheme val="minor"/>
      </rPr>
      <t xml:space="preserve">
……IRC112 cl.10.3.2 Eq. 10.6</t>
    </r>
  </si>
  <si>
    <t>Area of section</t>
  </si>
  <si>
    <r>
      <t xml:space="preserve">Comp. Stress Due to Horizontal Force, </t>
    </r>
    <r>
      <rPr>
        <sz val="11"/>
        <color theme="1"/>
        <rFont val="Calibri"/>
        <family val="2"/>
      </rPr>
      <t>σ</t>
    </r>
    <r>
      <rPr>
        <vertAlign val="subscript"/>
        <sz val="11"/>
        <color theme="1"/>
        <rFont val="Times New Roman"/>
        <family val="1"/>
      </rPr>
      <t>cp</t>
    </r>
  </si>
  <si>
    <r>
      <t>N/mm</t>
    </r>
    <r>
      <rPr>
        <vertAlign val="superscript"/>
        <sz val="11"/>
        <color theme="1"/>
        <rFont val="Times New Roman"/>
        <family val="1"/>
      </rPr>
      <t>2</t>
    </r>
  </si>
  <si>
    <t>K = 1+Sqrt(200/d )&lt;= 2</t>
  </si>
  <si>
    <r>
      <t>ᵨ</t>
    </r>
    <r>
      <rPr>
        <sz val="10"/>
        <color theme="1"/>
        <rFont val="Calibri"/>
        <family val="2"/>
        <scheme val="minor"/>
      </rPr>
      <t>1 = Asl / b</t>
    </r>
    <r>
      <rPr>
        <vertAlign val="subscript"/>
        <sz val="10"/>
        <color theme="1"/>
        <rFont val="Calibri"/>
        <family val="2"/>
        <scheme val="minor"/>
      </rPr>
      <t>w</t>
    </r>
    <r>
      <rPr>
        <sz val="10"/>
        <color theme="1"/>
        <rFont val="Calibri"/>
        <family val="2"/>
        <scheme val="minor"/>
      </rPr>
      <t>d</t>
    </r>
    <r>
      <rPr>
        <sz val="10"/>
        <color theme="1"/>
        <rFont val="Calibri"/>
        <family val="2"/>
      </rPr>
      <t>≤</t>
    </r>
    <r>
      <rPr>
        <sz val="8.5"/>
        <color theme="1"/>
        <rFont val="Calibri"/>
        <family val="2"/>
      </rPr>
      <t>0.02</t>
    </r>
  </si>
  <si>
    <r>
      <t>v</t>
    </r>
    <r>
      <rPr>
        <vertAlign val="subscript"/>
        <sz val="11"/>
        <color theme="1"/>
        <rFont val="Times New Roman"/>
        <family val="1"/>
      </rPr>
      <t>min1</t>
    </r>
    <r>
      <rPr>
        <sz val="11"/>
        <color theme="1"/>
        <rFont val="Times New Roman"/>
        <family val="1"/>
      </rPr>
      <t>= 0.031 K</t>
    </r>
    <r>
      <rPr>
        <vertAlign val="superscript"/>
        <sz val="11"/>
        <color theme="1"/>
        <rFont val="Times New Roman"/>
        <family val="1"/>
      </rPr>
      <t>3/2</t>
    </r>
    <r>
      <rPr>
        <sz val="11"/>
        <color theme="1"/>
        <rFont val="Times New Roman"/>
        <family val="1"/>
      </rPr>
      <t xml:space="preserve"> fck</t>
    </r>
    <r>
      <rPr>
        <vertAlign val="superscript"/>
        <sz val="11"/>
        <color theme="1"/>
        <rFont val="Times New Roman"/>
        <family val="1"/>
      </rPr>
      <t xml:space="preserve"> 1/2</t>
    </r>
  </si>
  <si>
    <r>
      <rPr>
        <sz val="10"/>
        <color theme="1"/>
        <rFont val="Times New Roman"/>
        <family val="1"/>
      </rPr>
      <t>v</t>
    </r>
    <r>
      <rPr>
        <vertAlign val="subscript"/>
        <sz val="10"/>
        <color theme="1"/>
        <rFont val="Times New Roman"/>
        <family val="1"/>
      </rPr>
      <t>min2</t>
    </r>
    <r>
      <rPr>
        <sz val="10"/>
        <color theme="1"/>
        <rFont val="Times New Roman"/>
        <family val="1"/>
      </rPr>
      <t>= 0.12K(80</t>
    </r>
    <r>
      <rPr>
        <sz val="10"/>
        <color theme="1"/>
        <rFont val="Calibri"/>
        <family val="2"/>
        <scheme val="minor"/>
      </rPr>
      <t xml:space="preserve"> </t>
    </r>
    <r>
      <rPr>
        <sz val="10"/>
        <color theme="1"/>
        <rFont val="Symbol"/>
        <family val="1"/>
        <charset val="2"/>
      </rPr>
      <t>r</t>
    </r>
    <r>
      <rPr>
        <sz val="10"/>
        <color theme="1"/>
        <rFont val="Calibri"/>
        <family val="2"/>
        <scheme val="minor"/>
      </rPr>
      <t xml:space="preserve">1 </t>
    </r>
    <r>
      <rPr>
        <sz val="10"/>
        <color theme="1"/>
        <rFont val="Times New Roman"/>
        <family val="1"/>
      </rPr>
      <t>fck )</t>
    </r>
    <r>
      <rPr>
        <vertAlign val="superscript"/>
        <sz val="10"/>
        <color theme="1"/>
        <rFont val="Times New Roman"/>
        <family val="1"/>
      </rPr>
      <t>0.33</t>
    </r>
  </si>
  <si>
    <r>
      <t>VRdc = (vmin+0.15</t>
    </r>
    <r>
      <rPr>
        <sz val="11"/>
        <color theme="1"/>
        <rFont val="Calibri"/>
        <family val="2"/>
      </rPr>
      <t>σ</t>
    </r>
    <r>
      <rPr>
        <sz val="11"/>
        <color theme="1"/>
        <rFont val="Times New Roman"/>
        <family val="1"/>
      </rPr>
      <t>cp)b</t>
    </r>
    <r>
      <rPr>
        <vertAlign val="subscript"/>
        <sz val="11"/>
        <color theme="1"/>
        <rFont val="Times New Roman"/>
        <family val="1"/>
      </rPr>
      <t>w</t>
    </r>
    <r>
      <rPr>
        <sz val="11"/>
        <color theme="1"/>
        <rFont val="Times New Roman"/>
        <family val="1"/>
      </rPr>
      <t>d</t>
    </r>
  </si>
  <si>
    <t>Shear reinforcement required or Not</t>
  </si>
  <si>
    <t>Shear reinforcement as per IRC 112-2011, clause 10.3.3.2</t>
  </si>
  <si>
    <t>Design shear force</t>
  </si>
  <si>
    <t>Dia of Bar</t>
  </si>
  <si>
    <t>Nos. of Legged</t>
  </si>
  <si>
    <t>Spacing of Bar</t>
  </si>
  <si>
    <t>Area of reinforcement, Asw</t>
  </si>
  <si>
    <t>No. of bars provided</t>
  </si>
  <si>
    <r>
      <rPr>
        <sz val="11"/>
        <color theme="1"/>
        <rFont val="Calibri"/>
        <family val="2"/>
      </rPr>
      <t>α</t>
    </r>
    <r>
      <rPr>
        <sz val="11"/>
        <color theme="1"/>
        <rFont val="Times New Roman"/>
        <family val="1"/>
      </rPr>
      <t xml:space="preserve"> </t>
    </r>
    <r>
      <rPr>
        <vertAlign val="subscript"/>
        <sz val="11"/>
        <color theme="1"/>
        <rFont val="Times New Roman"/>
        <family val="1"/>
      </rPr>
      <t>cw</t>
    </r>
  </si>
  <si>
    <t>Lever arm, z</t>
  </si>
  <si>
    <r>
      <t>Strength reduction factor v</t>
    </r>
    <r>
      <rPr>
        <vertAlign val="subscript"/>
        <sz val="11"/>
        <color theme="1"/>
        <rFont val="Calibri"/>
        <family val="2"/>
        <scheme val="minor"/>
      </rPr>
      <t>1</t>
    </r>
  </si>
  <si>
    <t>θ</t>
  </si>
  <si>
    <t>Cot θ</t>
  </si>
  <si>
    <t>Tan θ</t>
  </si>
  <si>
    <r>
      <t>VRd,s = A</t>
    </r>
    <r>
      <rPr>
        <vertAlign val="subscript"/>
        <sz val="11"/>
        <color theme="1"/>
        <rFont val="Times New Roman"/>
        <family val="1"/>
      </rPr>
      <t>sw</t>
    </r>
    <r>
      <rPr>
        <sz val="11"/>
        <color theme="1"/>
        <rFont val="Times New Roman"/>
        <family val="1"/>
      </rPr>
      <t>/s z f</t>
    </r>
    <r>
      <rPr>
        <vertAlign val="subscript"/>
        <sz val="11"/>
        <color theme="1"/>
        <rFont val="Times New Roman"/>
        <family val="1"/>
      </rPr>
      <t>ywd</t>
    </r>
    <r>
      <rPr>
        <sz val="11"/>
        <color theme="1"/>
        <rFont val="Times New Roman"/>
        <family val="1"/>
      </rPr>
      <t xml:space="preserve"> cot</t>
    </r>
    <r>
      <rPr>
        <sz val="11"/>
        <color theme="1"/>
        <rFont val="Calibri"/>
        <family val="2"/>
      </rPr>
      <t>Ɵ</t>
    </r>
  </si>
  <si>
    <r>
      <t>V</t>
    </r>
    <r>
      <rPr>
        <vertAlign val="subscript"/>
        <sz val="11"/>
        <color theme="1"/>
        <rFont val="Calibri"/>
        <family val="2"/>
        <scheme val="minor"/>
      </rPr>
      <t>Rd.max</t>
    </r>
    <r>
      <rPr>
        <sz val="11"/>
        <color theme="1"/>
        <rFont val="Calibri"/>
        <family val="2"/>
        <scheme val="minor"/>
      </rPr>
      <t xml:space="preserve"> = </t>
    </r>
    <r>
      <rPr>
        <sz val="11"/>
        <color theme="1"/>
        <rFont val="Symbol"/>
        <family val="1"/>
        <charset val="2"/>
      </rPr>
      <t xml:space="preserve"> a </t>
    </r>
    <r>
      <rPr>
        <vertAlign val="subscript"/>
        <sz val="11"/>
        <color theme="1"/>
        <rFont val="Calibri"/>
        <family val="2"/>
        <scheme val="minor"/>
      </rPr>
      <t>cw</t>
    </r>
    <r>
      <rPr>
        <sz val="11"/>
        <color theme="1"/>
        <rFont val="Calibri"/>
        <family val="2"/>
        <scheme val="minor"/>
      </rPr>
      <t xml:space="preserve"> b</t>
    </r>
    <r>
      <rPr>
        <vertAlign val="subscript"/>
        <sz val="11"/>
        <color theme="1"/>
        <rFont val="Calibri"/>
        <family val="2"/>
        <scheme val="minor"/>
      </rPr>
      <t>w</t>
    </r>
    <r>
      <rPr>
        <sz val="11"/>
        <color theme="1"/>
        <rFont val="Calibri"/>
        <family val="2"/>
        <scheme val="minor"/>
      </rPr>
      <t xml:space="preserve"> z v</t>
    </r>
    <r>
      <rPr>
        <vertAlign val="subscript"/>
        <sz val="11"/>
        <color theme="1"/>
        <rFont val="Calibri"/>
        <family val="2"/>
        <scheme val="minor"/>
      </rPr>
      <t>1</t>
    </r>
    <r>
      <rPr>
        <sz val="11"/>
        <color theme="1"/>
        <rFont val="Calibri"/>
        <family val="2"/>
        <scheme val="minor"/>
      </rPr>
      <t xml:space="preserve">  f</t>
    </r>
    <r>
      <rPr>
        <vertAlign val="subscript"/>
        <sz val="11"/>
        <color theme="1"/>
        <rFont val="Calibri"/>
        <family val="2"/>
        <scheme val="minor"/>
      </rPr>
      <t>cd</t>
    </r>
    <r>
      <rPr>
        <sz val="11"/>
        <color theme="1"/>
        <rFont val="Calibri"/>
        <family val="2"/>
        <scheme val="minor"/>
      </rPr>
      <t>/ (cotθ + tanθ)</t>
    </r>
  </si>
  <si>
    <t>Shear resistane, VRd</t>
  </si>
  <si>
    <r>
      <t>Max Shear Check V</t>
    </r>
    <r>
      <rPr>
        <vertAlign val="subscript"/>
        <sz val="11"/>
        <color theme="1"/>
        <rFont val="Times New Roman"/>
        <family val="1"/>
      </rPr>
      <t xml:space="preserve">ed </t>
    </r>
    <r>
      <rPr>
        <sz val="11"/>
        <color theme="1"/>
        <rFont val="Times New Roman"/>
        <family val="1"/>
      </rPr>
      <t>&lt;= 0.5b</t>
    </r>
    <r>
      <rPr>
        <vertAlign val="subscript"/>
        <sz val="11"/>
        <color theme="1"/>
        <rFont val="Times New Roman"/>
        <family val="1"/>
      </rPr>
      <t xml:space="preserve">w </t>
    </r>
    <r>
      <rPr>
        <sz val="11"/>
        <color theme="1"/>
        <rFont val="Times New Roman"/>
        <family val="1"/>
      </rPr>
      <t>d v f</t>
    </r>
    <r>
      <rPr>
        <vertAlign val="subscript"/>
        <sz val="11"/>
        <color theme="1"/>
        <rFont val="Times New Roman"/>
        <family val="1"/>
      </rPr>
      <t xml:space="preserve">cd </t>
    </r>
    <r>
      <rPr>
        <sz val="11"/>
        <color theme="1"/>
        <rFont val="Times New Roman"/>
        <family val="1"/>
      </rPr>
      <t>(Eq.10.5 IRC112)</t>
    </r>
  </si>
  <si>
    <t>Shear resistane, Vrdc= [0.12K(80 r1 fck )0.33 + 0.15 scp]bwd</t>
  </si>
  <si>
    <t>As per IRC 112:2011, annexure A-1, clause A1-4.2.a, structure is to be check for maximum stresses on concrete &amp; reinforcement for short term &amp; long term effect.</t>
  </si>
  <si>
    <r>
      <t>Permissible compressive stress in concrete (</t>
    </r>
    <r>
      <rPr>
        <sz val="10"/>
        <rFont val="Arial"/>
        <family val="2"/>
      </rPr>
      <t>σ</t>
    </r>
    <r>
      <rPr>
        <vertAlign val="subscript"/>
        <sz val="10"/>
        <rFont val="Arial"/>
        <family val="2"/>
      </rPr>
      <t>sc</t>
    </r>
    <r>
      <rPr>
        <sz val="11"/>
        <color theme="1"/>
        <rFont val="Calibri"/>
        <family val="2"/>
        <scheme val="minor"/>
      </rPr>
      <t>) :-</t>
    </r>
  </si>
  <si>
    <r>
      <t>Permissible tensile stress in steel (</t>
    </r>
    <r>
      <rPr>
        <sz val="10"/>
        <rFont val="Arial"/>
        <family val="2"/>
      </rPr>
      <t>σ</t>
    </r>
    <r>
      <rPr>
        <vertAlign val="subscript"/>
        <sz val="10"/>
        <rFont val="Arial"/>
        <family val="2"/>
      </rPr>
      <t>st</t>
    </r>
    <r>
      <rPr>
        <sz val="11"/>
        <color theme="1"/>
        <rFont val="Calibri"/>
        <family val="2"/>
        <scheme val="minor"/>
      </rPr>
      <t>)</t>
    </r>
  </si>
  <si>
    <t>Design value of modulus of elasticity (Es)</t>
  </si>
  <si>
    <t>Mpa</t>
  </si>
  <si>
    <t>Modulus of elasticity of concrete (Ecm)</t>
  </si>
  <si>
    <t>1) Design Moment</t>
  </si>
  <si>
    <t>2) Width of section</t>
  </si>
  <si>
    <t>3) Depth of Section</t>
  </si>
  <si>
    <r>
      <t>4) Effective depth, d</t>
    </r>
    <r>
      <rPr>
        <vertAlign val="subscript"/>
        <sz val="11"/>
        <color theme="1"/>
        <rFont val="Times New Roman"/>
        <family val="1"/>
      </rPr>
      <t>eff</t>
    </r>
  </si>
  <si>
    <t>5) Modulur ratio,m=(Es/Ecm)</t>
  </si>
  <si>
    <t>5) Area of c/s</t>
  </si>
  <si>
    <r>
      <t>6) Area of steel, A</t>
    </r>
    <r>
      <rPr>
        <vertAlign val="subscript"/>
        <sz val="11"/>
        <color theme="1"/>
        <rFont val="Times New Roman"/>
        <family val="1"/>
      </rPr>
      <t xml:space="preserve">st </t>
    </r>
  </si>
  <si>
    <t>6) Perimeter u</t>
  </si>
  <si>
    <t>7) Depth of Netural Axis,x</t>
  </si>
  <si>
    <t>7) Notional size, ho=2Ac/u</t>
  </si>
  <si>
    <r>
      <t xml:space="preserve">8) Cracked second 
   moment of c/s,  
   </t>
    </r>
    <r>
      <rPr>
        <b/>
        <sz val="12"/>
        <color theme="1"/>
        <rFont val="Times New Roman"/>
        <family val="1"/>
      </rPr>
      <t>I</t>
    </r>
    <r>
      <rPr>
        <b/>
        <vertAlign val="subscript"/>
        <sz val="12"/>
        <color theme="1"/>
        <rFont val="Times New Roman"/>
        <family val="1"/>
      </rPr>
      <t>c=(bx</t>
    </r>
    <r>
      <rPr>
        <b/>
        <vertAlign val="superscript"/>
        <sz val="12"/>
        <color theme="1"/>
        <rFont val="Times New Roman"/>
        <family val="1"/>
      </rPr>
      <t>3</t>
    </r>
    <r>
      <rPr>
        <b/>
        <vertAlign val="subscript"/>
        <sz val="12"/>
        <color theme="1"/>
        <rFont val="Times New Roman"/>
        <family val="1"/>
      </rPr>
      <t>/3)+mAst(d-x)</t>
    </r>
    <r>
      <rPr>
        <b/>
        <vertAlign val="superscript"/>
        <sz val="12"/>
        <color theme="1"/>
        <rFont val="Times New Roman"/>
        <family val="1"/>
      </rPr>
      <t>2</t>
    </r>
  </si>
  <si>
    <t>mm4</t>
  </si>
  <si>
    <t>8) Age of loading, t</t>
  </si>
  <si>
    <t>Days</t>
  </si>
  <si>
    <t>9) Stress in Reinforcement</t>
  </si>
  <si>
    <r>
      <t>9) Creep coefficient,</t>
    </r>
    <r>
      <rPr>
        <sz val="7"/>
        <color rgb="FFFF0000"/>
        <rFont val="Times New Roman"/>
        <family val="1"/>
      </rPr>
      <t>RH=80%</t>
    </r>
  </si>
  <si>
    <t>10) Status</t>
  </si>
  <si>
    <r>
      <t>10) Ec,</t>
    </r>
    <r>
      <rPr>
        <vertAlign val="subscript"/>
        <sz val="11"/>
        <color theme="1"/>
        <rFont val="Times New Roman"/>
        <family val="1"/>
      </rPr>
      <t>effective</t>
    </r>
  </si>
  <si>
    <t>11) Stress in Concrete</t>
  </si>
  <si>
    <r>
      <t>11) Modulur ratio,
    m=(Es/Ec</t>
    </r>
    <r>
      <rPr>
        <vertAlign val="subscript"/>
        <sz val="11"/>
        <color theme="1"/>
        <rFont val="Times New Roman"/>
        <family val="1"/>
      </rPr>
      <t>effective</t>
    </r>
    <r>
      <rPr>
        <sz val="11"/>
        <color theme="1"/>
        <rFont val="Times New Roman"/>
        <family val="1"/>
      </rPr>
      <t>)</t>
    </r>
  </si>
  <si>
    <t>12) Status</t>
  </si>
  <si>
    <r>
      <t>12) Area of steel, A</t>
    </r>
    <r>
      <rPr>
        <vertAlign val="subscript"/>
        <sz val="11"/>
        <color theme="1"/>
        <rFont val="Times New Roman"/>
        <family val="1"/>
      </rPr>
      <t xml:space="preserve">st </t>
    </r>
  </si>
  <si>
    <t>13) Depth of Netural Axis,x</t>
  </si>
  <si>
    <r>
      <t xml:space="preserve">14) Cracked second 
   moment of c/s,  
   </t>
    </r>
    <r>
      <rPr>
        <b/>
        <sz val="12"/>
        <color theme="1"/>
        <rFont val="Times New Roman"/>
        <family val="1"/>
      </rPr>
      <t>I</t>
    </r>
    <r>
      <rPr>
        <b/>
        <vertAlign val="subscript"/>
        <sz val="12"/>
        <color theme="1"/>
        <rFont val="Times New Roman"/>
        <family val="1"/>
      </rPr>
      <t>c=(bx</t>
    </r>
    <r>
      <rPr>
        <b/>
        <vertAlign val="superscript"/>
        <sz val="12"/>
        <color theme="1"/>
        <rFont val="Times New Roman"/>
        <family val="1"/>
      </rPr>
      <t>3</t>
    </r>
    <r>
      <rPr>
        <b/>
        <vertAlign val="subscript"/>
        <sz val="12"/>
        <color theme="1"/>
        <rFont val="Times New Roman"/>
        <family val="1"/>
      </rPr>
      <t>/3)+mAst(d-x)</t>
    </r>
    <r>
      <rPr>
        <b/>
        <vertAlign val="superscript"/>
        <sz val="12"/>
        <color theme="1"/>
        <rFont val="Times New Roman"/>
        <family val="1"/>
      </rPr>
      <t>2</t>
    </r>
  </si>
  <si>
    <t>15) Stress in Reinforcement</t>
  </si>
  <si>
    <t>16) Status</t>
  </si>
  <si>
    <t>17) Stress in Concrete</t>
  </si>
  <si>
    <t>18) Status</t>
  </si>
  <si>
    <t>(Rare combination)</t>
  </si>
  <si>
    <t>Combination</t>
  </si>
  <si>
    <t>Short term</t>
  </si>
  <si>
    <t>Long term</t>
  </si>
  <si>
    <t>Moment (kN-m)</t>
  </si>
  <si>
    <t>Top Slab, Rh=80%</t>
  </si>
  <si>
    <t>Creep</t>
  </si>
  <si>
    <t>ho</t>
  </si>
  <si>
    <r>
      <t>W</t>
    </r>
    <r>
      <rPr>
        <vertAlign val="subscript"/>
        <sz val="11"/>
        <color indexed="8"/>
        <rFont val="Times New Roman"/>
        <family val="1"/>
      </rPr>
      <t>k</t>
    </r>
    <r>
      <rPr>
        <sz val="11"/>
        <color indexed="8"/>
        <rFont val="Times New Roman"/>
        <family val="1"/>
      </rPr>
      <t xml:space="preserve"> = S</t>
    </r>
    <r>
      <rPr>
        <vertAlign val="subscript"/>
        <sz val="11"/>
        <color indexed="8"/>
        <rFont val="Times New Roman"/>
        <family val="1"/>
      </rPr>
      <t>r, max</t>
    </r>
    <r>
      <rPr>
        <sz val="11"/>
        <color indexed="8"/>
        <rFont val="Times New Roman"/>
        <family val="1"/>
      </rPr>
      <t xml:space="preserve"> (ɛ</t>
    </r>
    <r>
      <rPr>
        <vertAlign val="subscript"/>
        <sz val="11"/>
        <color indexed="8"/>
        <rFont val="Times New Roman"/>
        <family val="1"/>
      </rPr>
      <t>sm</t>
    </r>
    <r>
      <rPr>
        <sz val="11"/>
        <color indexed="8"/>
        <rFont val="Times New Roman"/>
        <family val="1"/>
      </rPr>
      <t xml:space="preserve"> - ɛ</t>
    </r>
    <r>
      <rPr>
        <vertAlign val="subscript"/>
        <sz val="11"/>
        <color indexed="8"/>
        <rFont val="Times New Roman"/>
        <family val="1"/>
      </rPr>
      <t>cm</t>
    </r>
    <r>
      <rPr>
        <sz val="11"/>
        <color indexed="8"/>
        <rFont val="Times New Roman"/>
        <family val="1"/>
      </rPr>
      <t xml:space="preserve"> )</t>
    </r>
  </si>
  <si>
    <t xml:space="preserve">Where, </t>
  </si>
  <si>
    <r>
      <t>S</t>
    </r>
    <r>
      <rPr>
        <vertAlign val="subscript"/>
        <sz val="11"/>
        <color indexed="8"/>
        <rFont val="Times New Roman"/>
        <family val="1"/>
      </rPr>
      <t>r, max</t>
    </r>
    <r>
      <rPr>
        <sz val="11"/>
        <color indexed="8"/>
        <rFont val="Times New Roman"/>
        <family val="1"/>
      </rPr>
      <t xml:space="preserve">  </t>
    </r>
  </si>
  <si>
    <t>Maximum crack spacing</t>
  </si>
  <si>
    <r>
      <t>(ɛ</t>
    </r>
    <r>
      <rPr>
        <vertAlign val="subscript"/>
        <sz val="11"/>
        <color indexed="8"/>
        <rFont val="Times New Roman"/>
        <family val="1"/>
      </rPr>
      <t>sm</t>
    </r>
    <r>
      <rPr>
        <sz val="11"/>
        <color indexed="8"/>
        <rFont val="Times New Roman"/>
        <family val="1"/>
      </rPr>
      <t xml:space="preserve"> - ɛ</t>
    </r>
    <r>
      <rPr>
        <vertAlign val="subscript"/>
        <sz val="11"/>
        <color indexed="8"/>
        <rFont val="Times New Roman"/>
        <family val="1"/>
      </rPr>
      <t>cm</t>
    </r>
    <r>
      <rPr>
        <sz val="11"/>
        <color indexed="8"/>
        <rFont val="Times New Roman"/>
        <family val="1"/>
      </rPr>
      <t xml:space="preserve"> ) =</t>
    </r>
  </si>
  <si>
    <t>Mean strain in reinforcement</t>
  </si>
  <si>
    <r>
      <t>Constant for calculating S</t>
    </r>
    <r>
      <rPr>
        <i/>
        <vertAlign val="subscript"/>
        <sz val="11"/>
        <color indexed="8"/>
        <rFont val="Times New Roman"/>
        <family val="1"/>
      </rPr>
      <t xml:space="preserve">r, max </t>
    </r>
    <r>
      <rPr>
        <i/>
        <sz val="11"/>
        <color indexed="8"/>
        <rFont val="Times New Roman"/>
        <family val="1"/>
      </rPr>
      <t>:-</t>
    </r>
  </si>
  <si>
    <t xml:space="preserve">Clear cover, </t>
  </si>
  <si>
    <t>c</t>
  </si>
  <si>
    <t xml:space="preserve">Dia. Of bar, </t>
  </si>
  <si>
    <r>
      <t xml:space="preserve">  ɸ</t>
    </r>
    <r>
      <rPr>
        <vertAlign val="subscript"/>
        <sz val="11"/>
        <color indexed="8"/>
        <rFont val="Times New Roman"/>
        <family val="1"/>
      </rPr>
      <t>1</t>
    </r>
    <r>
      <rPr>
        <sz val="11"/>
        <color theme="1"/>
        <rFont val="Calibri"/>
        <family val="2"/>
        <scheme val="minor"/>
      </rPr>
      <t/>
    </r>
  </si>
  <si>
    <r>
      <t xml:space="preserve">  ɸ</t>
    </r>
    <r>
      <rPr>
        <vertAlign val="subscript"/>
        <sz val="11"/>
        <color indexed="8"/>
        <rFont val="Times New Roman"/>
        <family val="1"/>
      </rPr>
      <t>2</t>
    </r>
    <r>
      <rPr>
        <sz val="11"/>
        <color theme="1"/>
        <rFont val="Calibri"/>
        <family val="2"/>
        <scheme val="minor"/>
      </rPr>
      <t/>
    </r>
  </si>
  <si>
    <t>Numbers of bars</t>
  </si>
  <si>
    <r>
      <t>n</t>
    </r>
    <r>
      <rPr>
        <vertAlign val="subscript"/>
        <sz val="11"/>
        <color indexed="8"/>
        <rFont val="Times New Roman"/>
        <family val="1"/>
      </rPr>
      <t>1</t>
    </r>
  </si>
  <si>
    <r>
      <t>n</t>
    </r>
    <r>
      <rPr>
        <vertAlign val="subscript"/>
        <sz val="11"/>
        <color indexed="8"/>
        <rFont val="Times New Roman"/>
        <family val="1"/>
      </rPr>
      <t>2</t>
    </r>
    <r>
      <rPr>
        <sz val="11"/>
        <color theme="1"/>
        <rFont val="Calibri"/>
        <family val="2"/>
        <scheme val="minor"/>
      </rPr>
      <t/>
    </r>
  </si>
  <si>
    <t xml:space="preserve">Equivalent dia.  </t>
  </si>
  <si>
    <r>
      <t>ɸ</t>
    </r>
    <r>
      <rPr>
        <vertAlign val="subscript"/>
        <sz val="11"/>
        <color indexed="8"/>
        <rFont val="Times New Roman"/>
        <family val="1"/>
      </rPr>
      <t>eq</t>
    </r>
  </si>
  <si>
    <t>…….As per Eq. 12.9 of IRC 112-2011</t>
  </si>
  <si>
    <t xml:space="preserve">Coefficient </t>
  </si>
  <si>
    <r>
      <t>k</t>
    </r>
    <r>
      <rPr>
        <vertAlign val="subscript"/>
        <sz val="11"/>
        <color indexed="8"/>
        <rFont val="Times New Roman"/>
        <family val="1"/>
      </rPr>
      <t>1</t>
    </r>
  </si>
  <si>
    <r>
      <t xml:space="preserve">Coefficient </t>
    </r>
    <r>
      <rPr>
        <sz val="11"/>
        <color theme="1"/>
        <rFont val="Calibri"/>
        <family val="2"/>
        <scheme val="minor"/>
      </rPr>
      <t/>
    </r>
  </si>
  <si>
    <r>
      <t>k</t>
    </r>
    <r>
      <rPr>
        <vertAlign val="subscript"/>
        <sz val="11"/>
        <color indexed="8"/>
        <rFont val="Times New Roman"/>
        <family val="1"/>
      </rPr>
      <t>2</t>
    </r>
    <r>
      <rPr>
        <sz val="11"/>
        <color theme="1"/>
        <rFont val="Calibri"/>
        <family val="2"/>
        <scheme val="minor"/>
      </rPr>
      <t/>
    </r>
  </si>
  <si>
    <t>Area of steel</t>
  </si>
  <si>
    <t>Modulus of elasticity of steel</t>
  </si>
  <si>
    <t>Es</t>
  </si>
  <si>
    <t>Secant modulus of elasticity of concrete</t>
  </si>
  <si>
    <t>Ecm</t>
  </si>
  <si>
    <t>…….As per Table 6.5 of IRC 112-2011</t>
  </si>
  <si>
    <t xml:space="preserve">Depth of section </t>
  </si>
  <si>
    <t>h</t>
  </si>
  <si>
    <t>Width of section</t>
  </si>
  <si>
    <t>Effective depth</t>
  </si>
  <si>
    <t>Neutral axis from compr. face</t>
  </si>
  <si>
    <r>
      <t>h</t>
    </r>
    <r>
      <rPr>
        <vertAlign val="subscript"/>
        <sz val="11"/>
        <rFont val="Times New Roman"/>
        <family val="1"/>
      </rPr>
      <t>c, eff</t>
    </r>
  </si>
  <si>
    <t>Lesser of</t>
  </si>
  <si>
    <t>a) 2.5 (h-d)</t>
  </si>
  <si>
    <t>b) (h-x/3)</t>
  </si>
  <si>
    <t>c) h/2</t>
  </si>
  <si>
    <t>Effective area of concrete</t>
  </si>
  <si>
    <r>
      <t>A</t>
    </r>
    <r>
      <rPr>
        <vertAlign val="subscript"/>
        <sz val="11"/>
        <rFont val="Times New Roman"/>
        <family val="1"/>
      </rPr>
      <t>c, eff</t>
    </r>
  </si>
  <si>
    <t>Ratio of area,</t>
  </si>
  <si>
    <r>
      <rPr>
        <sz val="12"/>
        <color indexed="8"/>
        <rFont val="Times New Roman"/>
        <family val="1"/>
      </rPr>
      <t>p</t>
    </r>
    <r>
      <rPr>
        <vertAlign val="subscript"/>
        <sz val="12"/>
        <color indexed="8"/>
        <rFont val="Times New Roman"/>
        <family val="1"/>
      </rPr>
      <t>p</t>
    </r>
    <r>
      <rPr>
        <vertAlign val="subscript"/>
        <sz val="11"/>
        <color indexed="8"/>
        <rFont val="Times New Roman"/>
        <family val="1"/>
      </rPr>
      <t xml:space="preserve">.eff  </t>
    </r>
  </si>
  <si>
    <r>
      <t>Constant for calculating  (ɛ</t>
    </r>
    <r>
      <rPr>
        <i/>
        <vertAlign val="subscript"/>
        <sz val="11"/>
        <color indexed="8"/>
        <rFont val="Times New Roman"/>
        <family val="1"/>
      </rPr>
      <t>sm</t>
    </r>
    <r>
      <rPr>
        <i/>
        <sz val="11"/>
        <color indexed="8"/>
        <rFont val="Times New Roman"/>
        <family val="1"/>
      </rPr>
      <t xml:space="preserve"> - ɛ</t>
    </r>
    <r>
      <rPr>
        <i/>
        <vertAlign val="subscript"/>
        <sz val="11"/>
        <color indexed="8"/>
        <rFont val="Times New Roman"/>
        <family val="1"/>
      </rPr>
      <t>cm</t>
    </r>
    <r>
      <rPr>
        <i/>
        <sz val="11"/>
        <color indexed="8"/>
        <rFont val="Times New Roman"/>
        <family val="1"/>
      </rPr>
      <t xml:space="preserve"> ) :-</t>
    </r>
  </si>
  <si>
    <t xml:space="preserve">Bending moment </t>
  </si>
  <si>
    <t>M</t>
  </si>
  <si>
    <t>Ratio of Es/Ecm</t>
  </si>
  <si>
    <r>
      <rPr>
        <sz val="11"/>
        <color indexed="8"/>
        <rFont val="Calibri"/>
        <family val="2"/>
      </rPr>
      <t>α</t>
    </r>
    <r>
      <rPr>
        <sz val="11"/>
        <color indexed="8"/>
        <rFont val="Times New Roman"/>
        <family val="1"/>
      </rPr>
      <t>e</t>
    </r>
  </si>
  <si>
    <t>Moment of inertia,</t>
  </si>
  <si>
    <t>I = bx³/3+mAs(d-x)²</t>
  </si>
  <si>
    <t>Stress in tension reinforcement</t>
  </si>
  <si>
    <r>
      <rPr>
        <sz val="11"/>
        <color indexed="8"/>
        <rFont val="Calibri"/>
        <family val="2"/>
      </rPr>
      <t>σ</t>
    </r>
    <r>
      <rPr>
        <vertAlign val="subscript"/>
        <sz val="11"/>
        <color indexed="8"/>
        <rFont val="Times New Roman"/>
        <family val="1"/>
      </rPr>
      <t>sc</t>
    </r>
  </si>
  <si>
    <t>Factor</t>
  </si>
  <si>
    <r>
      <t>k</t>
    </r>
    <r>
      <rPr>
        <vertAlign val="subscript"/>
        <sz val="11"/>
        <color indexed="8"/>
        <rFont val="Times New Roman"/>
        <family val="1"/>
      </rPr>
      <t>t</t>
    </r>
  </si>
  <si>
    <r>
      <t>f</t>
    </r>
    <r>
      <rPr>
        <vertAlign val="subscript"/>
        <sz val="11"/>
        <color indexed="8"/>
        <rFont val="Times New Roman"/>
        <family val="1"/>
      </rPr>
      <t xml:space="preserve">ct, eff = </t>
    </r>
    <r>
      <rPr>
        <sz val="11"/>
        <color indexed="8"/>
        <rFont val="Times New Roman"/>
        <family val="1"/>
      </rPr>
      <t>f</t>
    </r>
    <r>
      <rPr>
        <vertAlign val="subscript"/>
        <sz val="11"/>
        <color indexed="8"/>
        <rFont val="Times New Roman"/>
        <family val="1"/>
      </rPr>
      <t>ctm</t>
    </r>
  </si>
  <si>
    <t>Diffrence in Strain</t>
  </si>
  <si>
    <r>
      <t>Crack width, W</t>
    </r>
    <r>
      <rPr>
        <vertAlign val="subscript"/>
        <sz val="11"/>
        <color indexed="8"/>
        <rFont val="Times New Roman"/>
        <family val="1"/>
      </rPr>
      <t>k</t>
    </r>
    <r>
      <rPr>
        <sz val="11"/>
        <color indexed="8"/>
        <rFont val="Times New Roman"/>
        <family val="1"/>
      </rPr>
      <t xml:space="preserve"> = S</t>
    </r>
    <r>
      <rPr>
        <vertAlign val="subscript"/>
        <sz val="11"/>
        <color indexed="8"/>
        <rFont val="Times New Roman"/>
        <family val="1"/>
      </rPr>
      <t>r, max</t>
    </r>
    <r>
      <rPr>
        <sz val="11"/>
        <color indexed="8"/>
        <rFont val="Times New Roman"/>
        <family val="1"/>
      </rPr>
      <t xml:space="preserve"> (ɛ</t>
    </r>
    <r>
      <rPr>
        <vertAlign val="subscript"/>
        <sz val="11"/>
        <color indexed="8"/>
        <rFont val="Times New Roman"/>
        <family val="1"/>
      </rPr>
      <t>sm</t>
    </r>
    <r>
      <rPr>
        <sz val="11"/>
        <color indexed="8"/>
        <rFont val="Times New Roman"/>
        <family val="1"/>
      </rPr>
      <t xml:space="preserve"> - ɛ</t>
    </r>
    <r>
      <rPr>
        <vertAlign val="subscript"/>
        <sz val="11"/>
        <color indexed="8"/>
        <rFont val="Times New Roman"/>
        <family val="1"/>
      </rPr>
      <t>cm</t>
    </r>
    <r>
      <rPr>
        <sz val="11"/>
        <color indexed="8"/>
        <rFont val="Times New Roman"/>
        <family val="1"/>
      </rPr>
      <t xml:space="preserve"> )</t>
    </r>
  </si>
  <si>
    <t>1) Stem</t>
  </si>
  <si>
    <t>Check for Crack Width  :-</t>
  </si>
  <si>
    <t>Shear force</t>
  </si>
  <si>
    <t>Bending Moment</t>
  </si>
  <si>
    <t xml:space="preserve">Total downward </t>
  </si>
  <si>
    <t>pressure</t>
  </si>
  <si>
    <t>Average depth, d</t>
  </si>
  <si>
    <t>Max shear force, V</t>
  </si>
  <si>
    <t>Net pressure on toe</t>
  </si>
  <si>
    <t>at first end</t>
  </si>
  <si>
    <t>at other end</t>
  </si>
  <si>
    <t>3) Toe</t>
  </si>
  <si>
    <t>2) Heel</t>
  </si>
  <si>
    <t>Basic Combination</t>
  </si>
  <si>
    <t>Accidental Combination</t>
  </si>
  <si>
    <t>Seismic Combination</t>
  </si>
  <si>
    <t>Loads</t>
  </si>
  <si>
    <t xml:space="preserve">Basic </t>
  </si>
  <si>
    <t xml:space="preserve">Seismic </t>
  </si>
  <si>
    <t>Accidental</t>
  </si>
  <si>
    <t>1)  Dead Load</t>
  </si>
  <si>
    <t>2)  Earth Pressure</t>
  </si>
  <si>
    <t>3)  Surcharge</t>
  </si>
  <si>
    <t>Load Cases</t>
  </si>
  <si>
    <t xml:space="preserve">Moment of </t>
  </si>
  <si>
    <t>resistance</t>
  </si>
  <si>
    <t xml:space="preserve">Overturning </t>
  </si>
  <si>
    <t xml:space="preserve">moment </t>
  </si>
  <si>
    <t>Factor of safety against overturning</t>
  </si>
  <si>
    <t>Factor of safety against sliding</t>
  </si>
  <si>
    <t xml:space="preserve">Weight
</t>
  </si>
  <si>
    <t xml:space="preserve">Moment at curtailment height of </t>
  </si>
  <si>
    <t>Total height of retaining wall</t>
  </si>
  <si>
    <t>Table 1. Basic loads &amp; Lever arm</t>
  </si>
  <si>
    <t>Table 3. Checking for Sliding  &amp; Overturning moment</t>
  </si>
  <si>
    <t>A) Check for sliding &amp; overturning moments for various combination</t>
  </si>
  <si>
    <t>B) Check for base presuure for various combination</t>
  </si>
  <si>
    <t>Table 4. Partial safety factor for checking base pressure</t>
  </si>
  <si>
    <t>Table 5. Sliding  &amp; Overturning moment</t>
  </si>
  <si>
    <t>a) Basic Combination</t>
  </si>
  <si>
    <t>Coefficient of Earth Pressure :-</t>
  </si>
  <si>
    <t>Grade of material &amp; design constant :-</t>
  </si>
  <si>
    <t>Density of material, factore of safey against overturning &amp; sliding :-</t>
  </si>
  <si>
    <t>Clear Cover to reinforcement :-</t>
  </si>
  <si>
    <t>Dimensions of retaining wall :-</t>
  </si>
  <si>
    <t>GL</t>
  </si>
  <si>
    <t>Basic forces &amp; lever arm are calculated in table 1 :</t>
  </si>
  <si>
    <t>Design of retaining wall :-</t>
  </si>
  <si>
    <t>(Quasi combination)</t>
  </si>
  <si>
    <t xml:space="preserve">Ultimate bending moment at </t>
  </si>
  <si>
    <t>base of stem</t>
  </si>
  <si>
    <t>Ultimate shear force, V</t>
  </si>
  <si>
    <t>A) Stem</t>
  </si>
  <si>
    <t>Table 11. Check for shear &amp; design of shear reinforcement</t>
  </si>
  <si>
    <t>Check for shear resistance &amp; shear  reinforcement as per IRC 112-2011.</t>
  </si>
  <si>
    <t>B) Heel</t>
  </si>
  <si>
    <t>C) Toe</t>
  </si>
  <si>
    <t>Check for stresses  &amp; limiting crack width of section :-</t>
  </si>
  <si>
    <t>Fig 1. Retainig Wall</t>
  </si>
  <si>
    <t>C) ULS  combination</t>
  </si>
  <si>
    <t xml:space="preserve">Rare </t>
  </si>
  <si>
    <t>Quasi</t>
  </si>
  <si>
    <t>b) Rare Combination</t>
  </si>
  <si>
    <t>c) Quasi Combination</t>
  </si>
  <si>
    <t>Rare Combiantion</t>
  </si>
  <si>
    <t>V</t>
  </si>
  <si>
    <t>BM</t>
  </si>
  <si>
    <t>Rare Combination</t>
  </si>
  <si>
    <t>Quasi Combination</t>
  </si>
  <si>
    <t>Shear key design</t>
  </si>
  <si>
    <t>Fig. 10 Upward pressure</t>
  </si>
  <si>
    <t>Quasi Combiantion</t>
  </si>
  <si>
    <t>Note :- The bending moments for short term (Rare combination) &amp; long term (Quasi combination) are calculated as per moments calculated in ULS basic combiantion.</t>
  </si>
  <si>
    <t>Fig. 8 Upward pressure</t>
  </si>
  <si>
    <r>
      <t>k</t>
    </r>
    <r>
      <rPr>
        <vertAlign val="subscript"/>
        <sz val="10"/>
        <rFont val="Arial"/>
        <family val="2"/>
      </rPr>
      <t>a</t>
    </r>
  </si>
  <si>
    <t>g</t>
  </si>
  <si>
    <t>Total upward</t>
  </si>
  <si>
    <t>x(</t>
  </si>
  <si>
    <t>)x</t>
  </si>
  <si>
    <t xml:space="preserve">Distance of CG of </t>
  </si>
  <si>
    <t>upward pressure</t>
  </si>
  <si>
    <t>Total shear force</t>
  </si>
  <si>
    <t>weight</t>
  </si>
  <si>
    <t xml:space="preserve"> pressure distribution</t>
  </si>
  <si>
    <t>W</t>
  </si>
  <si>
    <t>UP</t>
  </si>
  <si>
    <t>CG</t>
  </si>
  <si>
    <t>Partial safety factor for checking of Base pressure are  :-</t>
  </si>
  <si>
    <t>H1</t>
  </si>
  <si>
    <t>Height of wall (H1)</t>
  </si>
  <si>
    <r>
      <t>H</t>
    </r>
    <r>
      <rPr>
        <vertAlign val="subscript"/>
        <sz val="11"/>
        <color theme="1"/>
        <rFont val="Times New Roman"/>
        <family val="1"/>
      </rPr>
      <t>1</t>
    </r>
    <r>
      <rPr>
        <vertAlign val="superscript"/>
        <sz val="10"/>
        <rFont val="Times New Roman"/>
        <family val="1"/>
      </rPr>
      <t>2</t>
    </r>
  </si>
  <si>
    <t>Horizontal force, Pa</t>
  </si>
  <si>
    <t>Horizontal force, Pp</t>
  </si>
  <si>
    <t>kN/m</t>
  </si>
  <si>
    <r>
      <t xml:space="preserve">Passive pressure, (Pp Cos </t>
    </r>
    <r>
      <rPr>
        <sz val="11"/>
        <color theme="1"/>
        <rFont val="Symbol"/>
        <family val="1"/>
        <charset val="2"/>
      </rPr>
      <t>b</t>
    </r>
    <r>
      <rPr>
        <sz val="11"/>
        <color theme="1"/>
        <rFont val="Times New Roman"/>
        <family val="1"/>
      </rPr>
      <t>)</t>
    </r>
  </si>
  <si>
    <r>
      <t xml:space="preserve">Ka. </t>
    </r>
    <r>
      <rPr>
        <sz val="11"/>
        <color theme="1"/>
        <rFont val="Calibri"/>
        <family val="2"/>
      </rPr>
      <t>y. H</t>
    </r>
    <r>
      <rPr>
        <vertAlign val="subscript"/>
        <sz val="11"/>
        <color theme="1"/>
        <rFont val="Calibri"/>
        <family val="2"/>
      </rPr>
      <t>1</t>
    </r>
    <r>
      <rPr>
        <vertAlign val="superscript"/>
        <sz val="11"/>
        <color theme="1"/>
        <rFont val="Calibri"/>
        <family val="2"/>
      </rPr>
      <t>3</t>
    </r>
  </si>
  <si>
    <t>Height of stem above GL</t>
  </si>
  <si>
    <t xml:space="preserve">     W2</t>
  </si>
  <si>
    <t>Thickness of base slab (t)</t>
  </si>
  <si>
    <t>t</t>
  </si>
  <si>
    <t>Moment @ toe(A) (kN-m)/m</t>
  </si>
  <si>
    <t>W5</t>
  </si>
  <si>
    <t>W6</t>
  </si>
  <si>
    <t>W7</t>
  </si>
  <si>
    <r>
      <t xml:space="preserve">Ka. </t>
    </r>
    <r>
      <rPr>
        <sz val="11"/>
        <color theme="1"/>
        <rFont val="Symbol"/>
        <family val="1"/>
        <charset val="2"/>
      </rPr>
      <t>g</t>
    </r>
    <r>
      <rPr>
        <sz val="11"/>
        <color theme="1"/>
        <rFont val="Times New Roman"/>
        <family val="1"/>
      </rPr>
      <t>. H</t>
    </r>
    <r>
      <rPr>
        <vertAlign val="subscript"/>
        <sz val="11"/>
        <color theme="1"/>
        <rFont val="Times New Roman"/>
        <family val="1"/>
      </rPr>
      <t>1</t>
    </r>
    <r>
      <rPr>
        <vertAlign val="superscript"/>
        <sz val="11"/>
        <color theme="1"/>
        <rFont val="Times New Roman"/>
        <family val="1"/>
      </rPr>
      <t>2</t>
    </r>
  </si>
  <si>
    <t>Self wt. of heel*Load factor</t>
  </si>
  <si>
    <t>Net bending moment</t>
  </si>
  <si>
    <t>Bending moment, BM</t>
  </si>
  <si>
    <t>Reinforcement provided in top in heel slab</t>
  </si>
  <si>
    <t>Reinforcement provided in base / bottom of slab</t>
  </si>
  <si>
    <t>Shear force, V</t>
  </si>
  <si>
    <t>Depth of section, d</t>
  </si>
  <si>
    <t>Table 6. Check for  base pressure for all combination</t>
  </si>
  <si>
    <t>Table 7. Partial safety factor for structural strength &amp; serviciability</t>
  </si>
  <si>
    <r>
      <t>kN/m</t>
    </r>
    <r>
      <rPr>
        <vertAlign val="superscript"/>
        <sz val="10"/>
        <rFont val="Times New Roman"/>
        <family val="1"/>
      </rPr>
      <t>2</t>
    </r>
  </si>
  <si>
    <r>
      <t>kN/m</t>
    </r>
    <r>
      <rPr>
        <vertAlign val="superscript"/>
        <sz val="10"/>
        <color theme="1"/>
        <rFont val="Times New Roman"/>
        <family val="1"/>
      </rPr>
      <t>2</t>
    </r>
  </si>
  <si>
    <t>Table 8. Moment of resistance &amp; overturning moment</t>
  </si>
  <si>
    <t>Table 9. Base pressure for basic combiantion</t>
  </si>
  <si>
    <t>Table 10. Base pressure for rare combiantion</t>
  </si>
  <si>
    <t>Table 11. Base pressure for quasi combiantion</t>
  </si>
  <si>
    <t>Table 12. Design of stem</t>
  </si>
  <si>
    <t>Table 13. Design of stem for curtailment height of stem</t>
  </si>
  <si>
    <t>Table 14. Check for shear &amp; design of shear reinforcement</t>
  </si>
  <si>
    <t>Table 15. Design of heel slab</t>
  </si>
  <si>
    <t>Table 17. Check for shear &amp; design of shear reinforcement</t>
  </si>
  <si>
    <t>Table 18. Design of toe slab</t>
  </si>
  <si>
    <t>Table 19. Check for shear &amp; design of shear reinforcement</t>
  </si>
  <si>
    <t>Table 20. Short term &amp; long term bending moments</t>
  </si>
  <si>
    <t>Table 21. Check for short term effect</t>
  </si>
  <si>
    <t>Table 22. Check for long term effect</t>
  </si>
  <si>
    <t>Table 23. Short term &amp; long term bending moments</t>
  </si>
  <si>
    <t>Table 24. Check for short term effect</t>
  </si>
  <si>
    <t>Table 25. Check for long term effect</t>
  </si>
  <si>
    <t>Table 26. Short term &amp; long term bending moments</t>
  </si>
  <si>
    <t>Table 27. Check for short term effect</t>
  </si>
  <si>
    <t>Table 28. Check for long term effect</t>
  </si>
  <si>
    <t>Area of steel provided :-</t>
  </si>
  <si>
    <r>
      <t xml:space="preserve">cos </t>
    </r>
    <r>
      <rPr>
        <sz val="10"/>
        <color theme="1"/>
        <rFont val="Symbol"/>
        <family val="1"/>
        <charset val="2"/>
      </rPr>
      <t>b</t>
    </r>
  </si>
  <si>
    <t>Radians</t>
  </si>
  <si>
    <t>cos Ф</t>
  </si>
  <si>
    <t>(Embankment slope 2:1)</t>
  </si>
  <si>
    <t>Fig 2. Detail of retaining wall (All dimensions are in m)</t>
  </si>
  <si>
    <t xml:space="preserve">Fig 3. Horizontal pressure diagram </t>
  </si>
  <si>
    <t xml:space="preserve">Fig 4. Upward pressure diagram </t>
  </si>
  <si>
    <t>Fig 5. Horizontal pressure on stem</t>
  </si>
  <si>
    <t>Fig. 6 Downward pressure on heel</t>
  </si>
  <si>
    <t>Fig. 7 Upward pressure on heel</t>
  </si>
  <si>
    <t>Fig. 9 Downward pressure
on toe</t>
  </si>
  <si>
    <t>Fig. 10 Upward pressure
 on toe</t>
  </si>
  <si>
    <t>Fig. 11 Net pressure on toe</t>
  </si>
  <si>
    <t>W8</t>
  </si>
  <si>
    <t>W9</t>
  </si>
  <si>
    <t>W10</t>
  </si>
  <si>
    <t xml:space="preserve">    W8</t>
  </si>
  <si>
    <t>W11</t>
  </si>
  <si>
    <t>4) Base of retaining wall</t>
  </si>
  <si>
    <t>Table 29. Short term &amp; long term bending moments</t>
  </si>
  <si>
    <t>Table 30. Check for short term effect</t>
  </si>
  <si>
    <t>Table 31. Check for long term effect</t>
  </si>
  <si>
    <t>jfjg</t>
  </si>
  <si>
    <t>jgjhj</t>
  </si>
  <si>
    <t>The scope of this report is to present the method adopted for structural analysis of structure including the design data considered, codes referred for the analysis, design and detailing for RCC Retaining wall.</t>
  </si>
  <si>
    <t>Design Data</t>
  </si>
  <si>
    <t>Depth of Foundation</t>
  </si>
  <si>
    <t>Design of retaining wall</t>
  </si>
  <si>
    <t>Check for stresses  &amp; limiting crack width of section</t>
  </si>
  <si>
    <r>
      <t>t</t>
    </r>
    <r>
      <rPr>
        <vertAlign val="subscript"/>
        <sz val="9"/>
        <color theme="1"/>
        <rFont val="Times New Roman"/>
        <family val="1"/>
      </rPr>
      <t>1</t>
    </r>
  </si>
  <si>
    <r>
      <t>Thickness of base slab (t</t>
    </r>
    <r>
      <rPr>
        <vertAlign val="subscript"/>
        <sz val="11"/>
        <color theme="1"/>
        <rFont val="Times New Roman"/>
        <family val="1"/>
      </rPr>
      <t>1</t>
    </r>
    <r>
      <rPr>
        <sz val="11"/>
        <color theme="1"/>
        <rFont val="Times New Roman"/>
        <family val="1"/>
      </rPr>
      <t>)</t>
    </r>
  </si>
  <si>
    <t>Base Slab :-</t>
  </si>
  <si>
    <t>kN/m3</t>
  </si>
  <si>
    <t>Fig. 8 Upward pressure 
on base</t>
  </si>
  <si>
    <t>IRC  6:2016</t>
  </si>
  <si>
    <t>Partial safety factor for checking of Sliding  &amp; Overturning are as per IRC 6:2016.</t>
  </si>
  <si>
    <t>Partial safety factor for checking of Base pressure as per IRC 6:2016.</t>
  </si>
  <si>
    <t>Area of steel on provided on verticle non soil face :-</t>
  </si>
  <si>
    <t>Minimum area of steel provided</t>
  </si>
  <si>
    <t>(Steel on non soil face)</t>
  </si>
  <si>
    <t>(Distribution steel))</t>
  </si>
  <si>
    <t>Provide</t>
  </si>
  <si>
    <t>T @</t>
  </si>
  <si>
    <t>mm c/c</t>
  </si>
  <si>
    <t>(</t>
  </si>
  <si>
    <r>
      <t>mm</t>
    </r>
    <r>
      <rPr>
        <vertAlign val="superscript"/>
        <sz val="10"/>
        <rFont val="Arial"/>
        <family val="2"/>
      </rPr>
      <t>2</t>
    </r>
    <r>
      <rPr>
        <sz val="10"/>
        <rFont val="Arial"/>
        <family val="2"/>
      </rPr>
      <t>)</t>
    </r>
  </si>
  <si>
    <t>Distribution steel</t>
  </si>
  <si>
    <t xml:space="preserve"> =</t>
  </si>
  <si>
    <r>
      <t>mm</t>
    </r>
    <r>
      <rPr>
        <vertAlign val="superscript"/>
        <sz val="10"/>
        <rFont val="Arial"/>
        <family val="2"/>
      </rPr>
      <t xml:space="preserve">2 </t>
    </r>
    <r>
      <rPr>
        <sz val="10"/>
        <rFont val="Arial"/>
        <family val="2"/>
      </rPr>
      <t>)</t>
    </r>
  </si>
  <si>
    <t>vertical non soil face</t>
  </si>
  <si>
    <t>(Soil face)</t>
  </si>
  <si>
    <t>(Non soil face)</t>
  </si>
  <si>
    <r>
      <t>H</t>
    </r>
    <r>
      <rPr>
        <vertAlign val="superscript"/>
        <sz val="10"/>
        <rFont val="Times New Roman"/>
        <family val="1"/>
      </rPr>
      <t>2</t>
    </r>
  </si>
  <si>
    <r>
      <t>Coeffecient of Active Earth Pressure, K</t>
    </r>
    <r>
      <rPr>
        <vertAlign val="subscript"/>
        <sz val="10"/>
        <rFont val="Arial"/>
        <family val="2"/>
      </rPr>
      <t>a</t>
    </r>
  </si>
  <si>
    <t>Horizontal component</t>
  </si>
  <si>
    <r>
      <t>K</t>
    </r>
    <r>
      <rPr>
        <vertAlign val="subscript"/>
        <sz val="9"/>
        <rFont val="Arial"/>
        <family val="2"/>
      </rPr>
      <t>a .</t>
    </r>
    <r>
      <rPr>
        <sz val="9"/>
        <rFont val="Arial"/>
        <family val="2"/>
      </rPr>
      <t>Cos (</t>
    </r>
    <r>
      <rPr>
        <sz val="9"/>
        <rFont val="Symbol"/>
        <family val="1"/>
        <charset val="2"/>
      </rPr>
      <t>d</t>
    </r>
    <r>
      <rPr>
        <sz val="9"/>
        <rFont val="Arial"/>
        <family val="2"/>
      </rPr>
      <t>+</t>
    </r>
    <r>
      <rPr>
        <sz val="9"/>
        <rFont val="Symbol"/>
        <family val="1"/>
        <charset val="2"/>
      </rPr>
      <t>a</t>
    </r>
    <r>
      <rPr>
        <sz val="9"/>
        <rFont val="Arial"/>
        <family val="2"/>
      </rPr>
      <t>)</t>
    </r>
  </si>
  <si>
    <t>Vertical component</t>
  </si>
  <si>
    <r>
      <t>K</t>
    </r>
    <r>
      <rPr>
        <vertAlign val="subscript"/>
        <sz val="9"/>
        <rFont val="Arial"/>
        <family val="2"/>
      </rPr>
      <t>a .</t>
    </r>
    <r>
      <rPr>
        <sz val="9"/>
        <rFont val="Arial"/>
        <family val="2"/>
      </rPr>
      <t>Sin (</t>
    </r>
    <r>
      <rPr>
        <sz val="9"/>
        <rFont val="Symbol"/>
        <family val="1"/>
        <charset val="2"/>
      </rPr>
      <t>d</t>
    </r>
    <r>
      <rPr>
        <sz val="9"/>
        <rFont val="Arial"/>
        <family val="2"/>
      </rPr>
      <t>+</t>
    </r>
    <r>
      <rPr>
        <sz val="9"/>
        <rFont val="Symbol"/>
        <family val="1"/>
        <charset val="2"/>
      </rPr>
      <t>a</t>
    </r>
    <r>
      <rPr>
        <sz val="9"/>
        <rFont val="Arial"/>
        <family val="2"/>
      </rPr>
      <t>)</t>
    </r>
  </si>
  <si>
    <t>in Rad</t>
  </si>
  <si>
    <r>
      <t xml:space="preserve">Angle of internal friction ( </t>
    </r>
    <r>
      <rPr>
        <sz val="9"/>
        <rFont val="Symbol"/>
        <family val="1"/>
        <charset val="2"/>
      </rPr>
      <t>f</t>
    </r>
    <r>
      <rPr>
        <sz val="9"/>
        <color indexed="8"/>
        <rFont val="Arial"/>
        <family val="2"/>
      </rPr>
      <t xml:space="preserve"> )</t>
    </r>
  </si>
  <si>
    <t>°</t>
  </si>
  <si>
    <r>
      <t xml:space="preserve">Angle of wall fiction ( </t>
    </r>
    <r>
      <rPr>
        <sz val="9"/>
        <rFont val="Symbol"/>
        <family val="1"/>
        <charset val="2"/>
      </rPr>
      <t>d</t>
    </r>
    <r>
      <rPr>
        <sz val="9"/>
        <color indexed="8"/>
        <rFont val="Arial"/>
        <family val="2"/>
      </rPr>
      <t xml:space="preserve"> ) </t>
    </r>
  </si>
  <si>
    <r>
      <t xml:space="preserve">Angle of surcharge ( </t>
    </r>
    <r>
      <rPr>
        <sz val="9"/>
        <rFont val="Symbol"/>
        <family val="1"/>
        <charset val="2"/>
      </rPr>
      <t>b</t>
    </r>
    <r>
      <rPr>
        <sz val="9"/>
        <color indexed="8"/>
        <rFont val="Arial"/>
        <family val="2"/>
      </rPr>
      <t xml:space="preserve"> )</t>
    </r>
  </si>
  <si>
    <r>
      <t xml:space="preserve">Angle of Internal wall slope ( </t>
    </r>
    <r>
      <rPr>
        <sz val="9"/>
        <rFont val="Symbol"/>
        <family val="1"/>
        <charset val="2"/>
      </rPr>
      <t>a</t>
    </r>
    <r>
      <rPr>
        <sz val="9"/>
        <color indexed="8"/>
        <rFont val="Arial"/>
        <family val="2"/>
      </rPr>
      <t xml:space="preserve"> )</t>
    </r>
  </si>
  <si>
    <t>Active earth pressure</t>
  </si>
  <si>
    <t>Vertical earth pressure</t>
  </si>
  <si>
    <t>Load</t>
  </si>
  <si>
    <t>Basic</t>
  </si>
  <si>
    <t>Table 16. Design of base slab</t>
  </si>
  <si>
    <t>w10</t>
  </si>
  <si>
    <t>W12</t>
  </si>
  <si>
    <t>Coefficient of friction between (u)</t>
  </si>
  <si>
    <t>IRC:112-2011, table 14.2</t>
  </si>
  <si>
    <t>….As per IRC 6-2016, annex B, clause 2</t>
  </si>
  <si>
    <t xml:space="preserve">Table 2a. Partial safety factor for checking of Sliding, Overturning </t>
  </si>
  <si>
    <t>Table 2b. Partial safety factor for checking of resisting force, moment of resistance</t>
  </si>
  <si>
    <t>Max. pressure on base at toe</t>
  </si>
  <si>
    <t>.</t>
  </si>
  <si>
    <t>)</t>
  </si>
  <si>
    <r>
      <t>Ka.</t>
    </r>
    <r>
      <rPr>
        <sz val="11"/>
        <color theme="1"/>
        <rFont val="Symbol"/>
        <family val="1"/>
        <charset val="2"/>
      </rPr>
      <t>g</t>
    </r>
    <r>
      <rPr>
        <sz val="11"/>
        <color theme="1"/>
        <rFont val="Times New Roman"/>
        <family val="1"/>
      </rPr>
      <t>. Surcharge depth. H</t>
    </r>
    <r>
      <rPr>
        <vertAlign val="subscript"/>
        <sz val="11"/>
        <color theme="1"/>
        <rFont val="Times New Roman"/>
        <family val="1"/>
      </rPr>
      <t>1</t>
    </r>
  </si>
  <si>
    <r>
      <t xml:space="preserve">Ka. </t>
    </r>
    <r>
      <rPr>
        <sz val="11"/>
        <color theme="1"/>
        <rFont val="Calibri"/>
        <family val="2"/>
      </rPr>
      <t>y. Surcharge depth. H</t>
    </r>
    <r>
      <rPr>
        <vertAlign val="subscript"/>
        <sz val="11"/>
        <color theme="1"/>
        <rFont val="Calibri"/>
        <family val="2"/>
      </rPr>
      <t>1</t>
    </r>
  </si>
  <si>
    <t>Thickness of kerb</t>
  </si>
  <si>
    <t>Height of kerb</t>
  </si>
  <si>
    <t>Grade of concrete</t>
  </si>
  <si>
    <t>Grade of steel</t>
  </si>
  <si>
    <t>Density of soil</t>
  </si>
  <si>
    <t>Density of concrete</t>
  </si>
  <si>
    <t>Fe</t>
  </si>
  <si>
    <r>
      <t>T/m</t>
    </r>
    <r>
      <rPr>
        <vertAlign val="superscript"/>
        <sz val="11"/>
        <color theme="1"/>
        <rFont val="Calibri"/>
        <family val="2"/>
        <scheme val="minor"/>
      </rPr>
      <t>3</t>
    </r>
  </si>
  <si>
    <t>t/m</t>
  </si>
  <si>
    <t>(1.2 m surcharge height)</t>
  </si>
  <si>
    <t>Total pressure</t>
  </si>
  <si>
    <t>Load factor</t>
  </si>
  <si>
    <t>Factored pressure</t>
  </si>
  <si>
    <t>Leaver arm (Earth pressure)</t>
  </si>
  <si>
    <t>Leaver arm (Surcharge)</t>
  </si>
  <si>
    <t>t.m</t>
  </si>
  <si>
    <t>Factored moment (earth pressure)</t>
  </si>
  <si>
    <t>Factored moment (surcharge)</t>
  </si>
  <si>
    <r>
      <t>mm</t>
    </r>
    <r>
      <rPr>
        <vertAlign val="superscript"/>
        <sz val="11"/>
        <color theme="1"/>
        <rFont val="Calibri"/>
        <family val="2"/>
        <scheme val="minor"/>
      </rPr>
      <t>2</t>
    </r>
  </si>
  <si>
    <t>Area of steel provided</t>
  </si>
  <si>
    <t>Dia.</t>
  </si>
  <si>
    <t>c/c</t>
  </si>
  <si>
    <t>Effective depth provided</t>
  </si>
  <si>
    <t>Clear cover to reinforcement</t>
  </si>
  <si>
    <t>Distribution Reinforcement 20% of main steel  =</t>
  </si>
  <si>
    <t>Height of crash barrier</t>
  </si>
  <si>
    <t>Force on crash barrier</t>
  </si>
  <si>
    <t>T          ….. (at 110 km/h speed from IRC: 6)</t>
  </si>
  <si>
    <t>Force due to crash barrier</t>
  </si>
  <si>
    <t>Lever arm (Force from crash barrier)</t>
  </si>
  <si>
    <t>Factored moment (load on crash barrier)</t>
  </si>
  <si>
    <t>Total factored moment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</si>
</sst>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164" formatCode="0.000"/>
    <numFmt numFmtId="165" formatCode="0.0"/>
    <numFmt numFmtId="166" formatCode="[$-409]d\-mmm\-yy;@"/>
    <numFmt numFmtId="167" formatCode="0.0000"/>
    <numFmt numFmtId="168" formatCode="&quot;M&quot;0"/>
    <numFmt numFmtId="169" formatCode="&quot;Fe&quot;0"/>
    <numFmt numFmtId="170" formatCode="&quot;x cos &quot;0"/>
    <numFmt numFmtId="171" formatCode="&quot;(&quot;0.00"/>
    <numFmt numFmtId="172" formatCode="&quot;/ &quot;0.00"/>
    <numFmt numFmtId="173" formatCode="&quot;- &quot;0.00&quot;)&quot;"/>
    <numFmt numFmtId="174" formatCode="0\ &quot;mm c/c&quot;"/>
    <numFmt numFmtId="175" formatCode="0\ &quot;mm&quot;"/>
    <numFmt numFmtId="176" formatCode="\ 0\ &quot;mm2&quot;"/>
    <numFmt numFmtId="177" formatCode="0\ &quot;Mpa&quot;"/>
    <numFmt numFmtId="178" formatCode="0.00.E+00"/>
    <numFmt numFmtId="179" formatCode="0.00\ &quot;N/mm2&quot;"/>
    <numFmt numFmtId="180" formatCode="0.000\ &quot;N/mm2&quot;"/>
    <numFmt numFmtId="181" formatCode="0.0\ &quot;N/mm2&quot;"/>
    <numFmt numFmtId="182" formatCode="0.00\ &quot;mm&quot;"/>
    <numFmt numFmtId="183" formatCode="0&quot; &quot;"/>
    <numFmt numFmtId="184" formatCode="&quot;x sin &quot;0"/>
  </numFmts>
  <fonts count="82" x14ac:knownFonts="1">
    <font>
      <sz val="11"/>
      <color theme="1"/>
      <name val="Calibri"/>
      <family val="2"/>
      <scheme val="minor"/>
    </font>
    <font>
      <sz val="10"/>
      <name val="Arial"/>
      <family val="2"/>
    </font>
    <font>
      <b/>
      <sz val="10"/>
      <name val="Arial"/>
      <family val="2"/>
    </font>
    <font>
      <b/>
      <sz val="14"/>
      <name val="Century Gothic"/>
      <family val="2"/>
    </font>
    <font>
      <b/>
      <sz val="16"/>
      <name val="Century Gothic"/>
      <family val="2"/>
    </font>
    <font>
      <sz val="10"/>
      <color theme="1"/>
      <name val="Arial"/>
      <family val="2"/>
    </font>
    <font>
      <u/>
      <sz val="10"/>
      <color indexed="12"/>
      <name val="Arial"/>
      <family val="2"/>
    </font>
    <font>
      <b/>
      <sz val="12"/>
      <color theme="1"/>
      <name val="Times New Roman"/>
      <family val="1"/>
    </font>
    <font>
      <sz val="11"/>
      <color theme="1"/>
      <name val="Times New Roman"/>
      <family val="1"/>
    </font>
    <font>
      <b/>
      <sz val="11"/>
      <color theme="1"/>
      <name val="Times New Roman"/>
      <family val="1"/>
    </font>
    <font>
      <b/>
      <sz val="10"/>
      <color theme="1"/>
      <name val="Times New Roman"/>
      <family val="1"/>
    </font>
    <font>
      <sz val="10"/>
      <color theme="1"/>
      <name val="Times New Roman"/>
      <family val="1"/>
    </font>
    <font>
      <b/>
      <i/>
      <sz val="11"/>
      <color theme="1"/>
      <name val="Times New Roman"/>
      <family val="1"/>
    </font>
    <font>
      <vertAlign val="subscript"/>
      <sz val="11"/>
      <color indexed="8"/>
      <name val="Times New Roman"/>
      <family val="1"/>
    </font>
    <font>
      <sz val="11"/>
      <color indexed="8"/>
      <name val="Times New Roman"/>
      <family val="1"/>
    </font>
    <font>
      <sz val="11"/>
      <name val="Times New Roman"/>
      <family val="1"/>
    </font>
    <font>
      <sz val="11"/>
      <color rgb="FFFF0000"/>
      <name val="Times New Roman"/>
      <family val="1"/>
    </font>
    <font>
      <sz val="11"/>
      <color theme="1"/>
      <name val="Calibri"/>
      <family val="2"/>
    </font>
    <font>
      <vertAlign val="subscript"/>
      <sz val="11"/>
      <color theme="1"/>
      <name val="Times New Roman"/>
      <family val="1"/>
    </font>
    <font>
      <sz val="9"/>
      <color theme="1"/>
      <name val="Times New Roman"/>
      <family val="1"/>
    </font>
    <font>
      <sz val="11"/>
      <color indexed="10"/>
      <name val="Times New Roman"/>
      <family val="1"/>
    </font>
    <font>
      <b/>
      <i/>
      <u/>
      <sz val="11"/>
      <color theme="1"/>
      <name val="Times New Roman"/>
      <family val="1"/>
    </font>
    <font>
      <vertAlign val="subscript"/>
      <sz val="11"/>
      <name val="Times New Roman"/>
      <family val="1"/>
    </font>
    <font>
      <vertAlign val="superscript"/>
      <sz val="11"/>
      <name val="Times New Roman"/>
      <family val="1"/>
    </font>
    <font>
      <b/>
      <u/>
      <sz val="11"/>
      <color theme="1"/>
      <name val="Times New Roman"/>
      <family val="1"/>
    </font>
    <font>
      <b/>
      <sz val="11"/>
      <color rgb="FFFF0000"/>
      <name val="Times New Roman"/>
      <family val="1"/>
    </font>
    <font>
      <sz val="36"/>
      <color theme="1"/>
      <name val="Times New Roman"/>
      <family val="1"/>
    </font>
    <font>
      <sz val="10"/>
      <name val="Symbol"/>
      <family val="1"/>
      <charset val="2"/>
    </font>
    <font>
      <sz val="10"/>
      <color theme="1"/>
      <name val="Calibri"/>
      <family val="2"/>
      <scheme val="minor"/>
    </font>
    <font>
      <sz val="11"/>
      <color theme="1"/>
      <name val="Symbol"/>
      <family val="1"/>
      <charset val="2"/>
    </font>
    <font>
      <vertAlign val="superscript"/>
      <sz val="11"/>
      <color theme="1"/>
      <name val="Times New Roman"/>
      <family val="1"/>
    </font>
    <font>
      <vertAlign val="superscript"/>
      <sz val="11"/>
      <color theme="1"/>
      <name val="Calibri"/>
      <family val="2"/>
    </font>
    <font>
      <vertAlign val="subscript"/>
      <sz val="9"/>
      <color theme="1"/>
      <name val="Times New Roman"/>
      <family val="1"/>
    </font>
    <font>
      <b/>
      <i/>
      <sz val="11"/>
      <color rgb="FFFF0000"/>
      <name val="Times New Roman"/>
      <family val="1"/>
    </font>
    <font>
      <sz val="9"/>
      <color theme="1"/>
      <name val="Calibri"/>
      <family val="2"/>
      <scheme val="minor"/>
    </font>
    <font>
      <vertAlign val="subscript"/>
      <sz val="11"/>
      <color theme="1"/>
      <name val="Calibri"/>
      <family val="2"/>
      <scheme val="minor"/>
    </font>
    <font>
      <sz val="14"/>
      <color theme="1"/>
      <name val="Calibri"/>
      <family val="2"/>
      <scheme val="minor"/>
    </font>
    <font>
      <vertAlign val="subscript"/>
      <sz val="10"/>
      <color theme="1"/>
      <name val="Calibri"/>
      <family val="2"/>
      <scheme val="minor"/>
    </font>
    <font>
      <sz val="10"/>
      <color theme="1"/>
      <name val="Calibri"/>
      <family val="2"/>
    </font>
    <font>
      <sz val="8.5"/>
      <color theme="1"/>
      <name val="Calibri"/>
      <family val="2"/>
    </font>
    <font>
      <vertAlign val="subscript"/>
      <sz val="10"/>
      <color theme="1"/>
      <name val="Times New Roman"/>
      <family val="1"/>
    </font>
    <font>
      <sz val="10"/>
      <color theme="1"/>
      <name val="Symbol"/>
      <family val="1"/>
      <charset val="2"/>
    </font>
    <font>
      <vertAlign val="superscript"/>
      <sz val="10"/>
      <color theme="1"/>
      <name val="Times New Roman"/>
      <family val="1"/>
    </font>
    <font>
      <sz val="11"/>
      <color rgb="FFFF0000"/>
      <name val="Calibri"/>
      <family val="2"/>
      <scheme val="minor"/>
    </font>
    <font>
      <sz val="12"/>
      <name val="Times New Roman"/>
      <family val="1"/>
    </font>
    <font>
      <vertAlign val="subscript"/>
      <sz val="10"/>
      <name val="Arial"/>
      <family val="2"/>
    </font>
    <font>
      <i/>
      <sz val="9"/>
      <color theme="1"/>
      <name val="Times New Roman"/>
      <family val="1"/>
    </font>
    <font>
      <b/>
      <vertAlign val="subscript"/>
      <sz val="12"/>
      <color theme="1"/>
      <name val="Times New Roman"/>
      <family val="1"/>
    </font>
    <font>
      <b/>
      <vertAlign val="superscript"/>
      <sz val="12"/>
      <color theme="1"/>
      <name val="Times New Roman"/>
      <family val="1"/>
    </font>
    <font>
      <sz val="7"/>
      <color rgb="FFFF0000"/>
      <name val="Times New Roman"/>
      <family val="1"/>
    </font>
    <font>
      <sz val="10"/>
      <color rgb="FFFF0000"/>
      <name val="Arial"/>
      <family val="2"/>
    </font>
    <font>
      <i/>
      <sz val="11"/>
      <color theme="1"/>
      <name val="Times New Roman"/>
      <family val="1"/>
    </font>
    <font>
      <i/>
      <vertAlign val="subscript"/>
      <sz val="11"/>
      <color indexed="8"/>
      <name val="Times New Roman"/>
      <family val="1"/>
    </font>
    <font>
      <i/>
      <sz val="11"/>
      <color indexed="8"/>
      <name val="Times New Roman"/>
      <family val="1"/>
    </font>
    <font>
      <sz val="10"/>
      <name val="Times New Roman"/>
      <family val="1"/>
    </font>
    <font>
      <sz val="12"/>
      <color indexed="8"/>
      <name val="Times New Roman"/>
      <family val="1"/>
    </font>
    <font>
      <vertAlign val="subscript"/>
      <sz val="12"/>
      <color indexed="8"/>
      <name val="Times New Roman"/>
      <family val="1"/>
    </font>
    <font>
      <sz val="11"/>
      <color indexed="8"/>
      <name val="Calibri"/>
      <family val="2"/>
    </font>
    <font>
      <vertAlign val="superscript"/>
      <sz val="10"/>
      <name val="Times New Roman"/>
      <family val="1"/>
    </font>
    <font>
      <b/>
      <sz val="10.5"/>
      <color theme="1"/>
      <name val="Times New Roman"/>
      <family val="1"/>
    </font>
    <font>
      <sz val="8"/>
      <color theme="1"/>
      <name val="Times New Roman"/>
      <family val="1"/>
    </font>
    <font>
      <vertAlign val="subscript"/>
      <sz val="11"/>
      <color theme="1"/>
      <name val="Calibri"/>
      <family val="2"/>
    </font>
    <font>
      <sz val="10"/>
      <color rgb="FFFF0000"/>
      <name val="Times New Roman"/>
      <family val="1"/>
    </font>
    <font>
      <sz val="7"/>
      <color theme="1"/>
      <name val="Times New Roman"/>
      <family val="1"/>
    </font>
    <font>
      <sz val="8"/>
      <name val="Times New Roman"/>
      <family val="1"/>
    </font>
    <font>
      <sz val="10"/>
      <color indexed="10"/>
      <name val="Arial"/>
      <family val="2"/>
    </font>
    <font>
      <b/>
      <sz val="10"/>
      <color indexed="10"/>
      <name val="Arial"/>
      <family val="2"/>
    </font>
    <font>
      <vertAlign val="superscript"/>
      <sz val="10"/>
      <name val="Arial"/>
      <family val="2"/>
    </font>
    <font>
      <b/>
      <sz val="10"/>
      <color rgb="FFFF0000"/>
      <name val="Arial"/>
      <family val="2"/>
    </font>
    <font>
      <sz val="9"/>
      <name val="Arial"/>
      <family val="2"/>
    </font>
    <font>
      <vertAlign val="subscript"/>
      <sz val="9"/>
      <name val="Arial"/>
      <family val="2"/>
    </font>
    <font>
      <sz val="9"/>
      <name val="Symbol"/>
      <family val="1"/>
      <charset val="2"/>
    </font>
    <font>
      <sz val="9"/>
      <color indexed="8"/>
      <name val="Arial"/>
      <family val="2"/>
    </font>
    <font>
      <sz val="11"/>
      <color theme="0"/>
      <name val="Times New Roman"/>
      <family val="1"/>
    </font>
    <font>
      <b/>
      <sz val="11"/>
      <name val="Times New Roman"/>
      <family val="1"/>
    </font>
    <font>
      <vertAlign val="superscript"/>
      <sz val="11"/>
      <color theme="1"/>
      <name val="Calibri"/>
      <family val="2"/>
      <scheme val="minor"/>
    </font>
    <font>
      <i/>
      <sz val="10"/>
      <color theme="1"/>
      <name val="Calibri"/>
      <family val="2"/>
      <scheme val="minor"/>
    </font>
    <font>
      <b/>
      <i/>
      <u/>
      <sz val="14"/>
      <color theme="1"/>
      <name val="Calibri"/>
      <family val="2"/>
      <scheme val="minor"/>
    </font>
    <font>
      <b/>
      <sz val="11"/>
      <color theme="1"/>
      <name val="Calibri"/>
      <family val="2"/>
      <scheme val="minor"/>
    </font>
    <font>
      <sz val="9"/>
      <color indexed="81"/>
      <name val="Tahoma"/>
      <family val="2"/>
    </font>
    <font>
      <b/>
      <sz val="9"/>
      <color indexed="81"/>
      <name val="Tahoma"/>
      <family val="2"/>
    </font>
    <font>
      <b/>
      <sz val="11"/>
      <color rgb="FFFF0000"/>
      <name val="Calibri"/>
      <family val="2"/>
      <scheme val="minor"/>
    </font>
  </fonts>
  <fills count="4">
    <fill>
      <patternFill patternType="none"/>
    </fill>
    <fill>
      <patternFill patternType="gray125"/>
    </fill>
    <fill>
      <patternFill patternType="solid">
        <fgColor theme="9" tint="0.59999389629810485"/>
        <bgColor indexed="64"/>
      </patternFill>
    </fill>
    <fill>
      <patternFill patternType="solid">
        <fgColor theme="3" tint="0.79998168889431442"/>
        <bgColor indexed="64"/>
      </patternFill>
    </fill>
  </fills>
  <borders count="22">
    <border>
      <left/>
      <right/>
      <top/>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top style="double">
        <color indexed="64"/>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indexed="64"/>
      </bottom>
      <diagonal/>
    </border>
    <border>
      <left/>
      <right/>
      <top/>
      <bottom style="double">
        <color indexed="64"/>
      </bottom>
      <diagonal/>
    </border>
    <border>
      <left/>
      <right style="double">
        <color auto="1"/>
      </right>
      <top/>
      <bottom style="double">
        <color indexed="64"/>
      </bottom>
      <diagonal/>
    </border>
  </borders>
  <cellStyleXfs count="3">
    <xf numFmtId="0" fontId="0" fillId="0" borderId="0"/>
    <xf numFmtId="0" fontId="1" fillId="0" borderId="0"/>
    <xf numFmtId="0" fontId="6" fillId="0" borderId="0" applyNumberFormat="0" applyFill="0" applyBorder="0" applyAlignment="0" applyProtection="0">
      <alignment vertical="top"/>
      <protection locked="0"/>
    </xf>
  </cellStyleXfs>
  <cellXfs count="1045">
    <xf numFmtId="0" fontId="0" fillId="0" borderId="0" xfId="0"/>
    <xf numFmtId="0" fontId="1" fillId="0" borderId="14" xfId="1" applyBorder="1"/>
    <xf numFmtId="0" fontId="1" fillId="0" borderId="15" xfId="1" applyBorder="1"/>
    <xf numFmtId="0" fontId="1" fillId="0" borderId="16" xfId="1" applyBorder="1"/>
    <xf numFmtId="0" fontId="1" fillId="0" borderId="0" xfId="1"/>
    <xf numFmtId="0" fontId="1" fillId="0" borderId="17" xfId="1" applyBorder="1"/>
    <xf numFmtId="0" fontId="1" fillId="0" borderId="18" xfId="1" applyBorder="1"/>
    <xf numFmtId="0" fontId="1" fillId="0" borderId="0" xfId="1" applyBorder="1"/>
    <xf numFmtId="0" fontId="2" fillId="0" borderId="0" xfId="1" applyFont="1" applyBorder="1"/>
    <xf numFmtId="0" fontId="1" fillId="0" borderId="8" xfId="1" applyBorder="1" applyAlignment="1" applyProtection="1">
      <alignment vertical="center" wrapText="1"/>
      <protection locked="0"/>
    </xf>
    <xf numFmtId="0" fontId="1" fillId="0" borderId="0" xfId="1" applyBorder="1" applyAlignment="1">
      <alignment horizontal="center"/>
    </xf>
    <xf numFmtId="0" fontId="1" fillId="0" borderId="0" xfId="1" applyBorder="1" applyProtection="1">
      <protection locked="0"/>
    </xf>
    <xf numFmtId="0" fontId="1" fillId="0" borderId="10" xfId="1" applyBorder="1" applyProtection="1">
      <protection locked="0"/>
    </xf>
    <xf numFmtId="0" fontId="1" fillId="0" borderId="8" xfId="1" applyBorder="1" applyProtection="1">
      <protection locked="0"/>
    </xf>
    <xf numFmtId="0" fontId="1" fillId="0" borderId="11" xfId="1" applyBorder="1" applyProtection="1">
      <protection locked="0"/>
    </xf>
    <xf numFmtId="0" fontId="1" fillId="0" borderId="9" xfId="1" applyBorder="1" applyProtection="1">
      <protection locked="0"/>
    </xf>
    <xf numFmtId="0" fontId="1" fillId="0" borderId="4" xfId="1" applyBorder="1" applyProtection="1">
      <protection locked="0"/>
    </xf>
    <xf numFmtId="0" fontId="1" fillId="0" borderId="9" xfId="1" applyBorder="1"/>
    <xf numFmtId="0" fontId="1" fillId="0" borderId="4" xfId="1" applyBorder="1"/>
    <xf numFmtId="0" fontId="1" fillId="0" borderId="17" xfId="1" applyBorder="1" applyAlignment="1">
      <alignment wrapText="1"/>
    </xf>
    <xf numFmtId="0" fontId="1" fillId="0" borderId="9" xfId="1" applyBorder="1" applyAlignment="1">
      <alignment wrapText="1"/>
    </xf>
    <xf numFmtId="0" fontId="1" fillId="0" borderId="0" xfId="1" applyBorder="1" applyAlignment="1">
      <alignment wrapText="1"/>
    </xf>
    <xf numFmtId="0" fontId="1" fillId="0" borderId="4" xfId="1" applyBorder="1" applyAlignment="1">
      <alignment wrapText="1"/>
    </xf>
    <xf numFmtId="0" fontId="1" fillId="0" borderId="18" xfId="1" applyBorder="1" applyAlignment="1">
      <alignment wrapText="1"/>
    </xf>
    <xf numFmtId="0" fontId="1" fillId="0" borderId="0" xfId="1" applyAlignment="1">
      <alignment wrapText="1"/>
    </xf>
    <xf numFmtId="0" fontId="1" fillId="0" borderId="12" xfId="1" applyBorder="1"/>
    <xf numFmtId="0" fontId="1" fillId="0" borderId="2" xfId="1" applyBorder="1"/>
    <xf numFmtId="0" fontId="1" fillId="0" borderId="2" xfId="1" applyFont="1" applyBorder="1" applyAlignment="1">
      <alignment wrapText="1"/>
    </xf>
    <xf numFmtId="0" fontId="1" fillId="0" borderId="13" xfId="1" applyFont="1" applyBorder="1" applyAlignment="1">
      <alignment wrapText="1"/>
    </xf>
    <xf numFmtId="0" fontId="1" fillId="0" borderId="0" xfId="1" applyFont="1" applyBorder="1" applyAlignment="1">
      <alignment wrapText="1"/>
    </xf>
    <xf numFmtId="0" fontId="1" fillId="0" borderId="19" xfId="1" applyBorder="1"/>
    <xf numFmtId="0" fontId="1" fillId="0" borderId="20" xfId="1" applyBorder="1"/>
    <xf numFmtId="0" fontId="6" fillId="0" borderId="20" xfId="2" applyBorder="1" applyAlignment="1" applyProtection="1"/>
    <xf numFmtId="0" fontId="1" fillId="0" borderId="20" xfId="1" applyFont="1" applyBorder="1" applyAlignment="1">
      <alignment wrapText="1"/>
    </xf>
    <xf numFmtId="0" fontId="1" fillId="0" borderId="21" xfId="1" applyBorder="1"/>
    <xf numFmtId="0" fontId="7"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center" vertical="center"/>
    </xf>
    <xf numFmtId="0" fontId="9" fillId="0" borderId="3" xfId="0" applyFont="1" applyBorder="1" applyAlignment="1">
      <alignment horizontal="center" vertical="center"/>
    </xf>
    <xf numFmtId="0" fontId="9" fillId="0" borderId="3" xfId="0" applyFont="1" applyBorder="1" applyAlignment="1">
      <alignment horizontal="left" vertical="center" indent="1"/>
    </xf>
    <xf numFmtId="0" fontId="9" fillId="0" borderId="0" xfId="0" applyFont="1" applyBorder="1" applyAlignment="1">
      <alignment horizontal="center" vertical="center"/>
    </xf>
    <xf numFmtId="0" fontId="8" fillId="0" borderId="3" xfId="0" applyFont="1" applyBorder="1" applyAlignment="1">
      <alignment horizontal="left" vertical="center" indent="1"/>
    </xf>
    <xf numFmtId="0" fontId="8" fillId="0" borderId="0" xfId="0" applyFont="1" applyBorder="1" applyAlignment="1">
      <alignment horizontal="center" vertical="center"/>
    </xf>
    <xf numFmtId="0" fontId="8" fillId="0" borderId="0" xfId="0" applyFont="1" applyBorder="1" applyAlignment="1">
      <alignment horizontal="left" vertical="center" indent="1"/>
    </xf>
    <xf numFmtId="0" fontId="8" fillId="0" borderId="0" xfId="0" applyFont="1" applyAlignment="1">
      <alignment horizontal="left" vertical="center" indent="1"/>
    </xf>
    <xf numFmtId="0" fontId="8" fillId="0" borderId="0" xfId="0" applyFont="1"/>
    <xf numFmtId="0" fontId="9" fillId="0" borderId="0" xfId="0" applyFont="1" applyAlignment="1">
      <alignment horizontal="center"/>
    </xf>
    <xf numFmtId="0" fontId="12" fillId="0" borderId="0" xfId="0" applyFont="1"/>
    <xf numFmtId="0" fontId="8" fillId="0" borderId="0" xfId="0" applyFont="1" applyAlignment="1">
      <alignment vertical="top" wrapText="1"/>
    </xf>
    <xf numFmtId="0" fontId="8" fillId="0" borderId="0" xfId="0" applyFont="1" applyAlignment="1">
      <alignment wrapText="1"/>
    </xf>
    <xf numFmtId="0" fontId="8" fillId="0" borderId="0" xfId="0" applyFont="1" applyAlignment="1">
      <alignment horizontal="left" vertical="top" wrapText="1"/>
    </xf>
    <xf numFmtId="0" fontId="8" fillId="0" borderId="0" xfId="0" applyFont="1" applyAlignment="1">
      <alignment horizontal="left" vertical="top"/>
    </xf>
    <xf numFmtId="0" fontId="8" fillId="0" borderId="0" xfId="0" applyFont="1" applyAlignment="1">
      <alignment horizontal="center" vertical="top"/>
    </xf>
    <xf numFmtId="0" fontId="13" fillId="0" borderId="0" xfId="0" applyFont="1" applyFill="1" applyBorder="1" applyAlignment="1">
      <alignment readingOrder="1"/>
    </xf>
    <xf numFmtId="0" fontId="14" fillId="0" borderId="0" xfId="0" applyFont="1" applyFill="1" applyBorder="1" applyAlignment="1">
      <alignment readingOrder="1"/>
    </xf>
    <xf numFmtId="0" fontId="14" fillId="0" borderId="0" xfId="0" applyFont="1" applyFill="1" applyBorder="1" applyAlignment="1">
      <alignment horizontal="center" readingOrder="1"/>
    </xf>
    <xf numFmtId="0" fontId="14" fillId="0" borderId="0" xfId="0" applyFont="1" applyFill="1" applyBorder="1"/>
    <xf numFmtId="0" fontId="14" fillId="0" borderId="0" xfId="0" applyFont="1" applyFill="1" applyBorder="1" applyAlignment="1">
      <alignment vertical="center" readingOrder="1"/>
    </xf>
    <xf numFmtId="0" fontId="14" fillId="0" borderId="0" xfId="0" applyNumberFormat="1" applyFont="1" applyFill="1" applyBorder="1" applyAlignment="1">
      <alignment readingOrder="1"/>
    </xf>
    <xf numFmtId="0" fontId="13" fillId="0" borderId="0" xfId="0" applyFont="1" applyFill="1" applyBorder="1" applyAlignment="1">
      <alignment vertical="top" readingOrder="1"/>
    </xf>
    <xf numFmtId="0" fontId="8" fillId="0" borderId="0" xfId="0" applyFont="1" applyAlignment="1">
      <alignment vertical="top" readingOrder="1"/>
    </xf>
    <xf numFmtId="0" fontId="14" fillId="0" borderId="0" xfId="0" applyFont="1" applyBorder="1" applyAlignment="1">
      <alignment horizontal="center" vertical="top" readingOrder="1"/>
    </xf>
    <xf numFmtId="0" fontId="15" fillId="0" borderId="0" xfId="0" applyFont="1"/>
    <xf numFmtId="0" fontId="14" fillId="0" borderId="0" xfId="0" applyFont="1" applyBorder="1" applyAlignment="1">
      <alignment horizontal="left" readingOrder="1"/>
    </xf>
    <xf numFmtId="0" fontId="15" fillId="0" borderId="0" xfId="0" applyFont="1" applyBorder="1"/>
    <xf numFmtId="0" fontId="15" fillId="0" borderId="0" xfId="0" applyFont="1" applyAlignment="1">
      <alignment horizontal="left"/>
    </xf>
    <xf numFmtId="0" fontId="8" fillId="0" borderId="0" xfId="0" applyFont="1" applyBorder="1"/>
    <xf numFmtId="168" fontId="16" fillId="0" borderId="0" xfId="0" applyNumberFormat="1" applyFont="1" applyBorder="1" applyAlignment="1">
      <alignment horizontal="left"/>
    </xf>
    <xf numFmtId="0" fontId="15" fillId="0" borderId="0" xfId="0" applyFont="1" applyFill="1" applyBorder="1" applyAlignment="1"/>
    <xf numFmtId="0" fontId="15" fillId="0" borderId="0" xfId="0" applyFont="1" applyBorder="1" applyAlignment="1">
      <alignment horizontal="center"/>
    </xf>
    <xf numFmtId="0" fontId="15" fillId="0" borderId="0" xfId="0" applyFont="1" applyAlignment="1"/>
    <xf numFmtId="0" fontId="15" fillId="0" borderId="0" xfId="0" applyFont="1" applyAlignment="1">
      <alignment vertical="top" readingOrder="1"/>
    </xf>
    <xf numFmtId="0" fontId="21" fillId="0" borderId="0" xfId="0" applyFont="1" applyBorder="1" applyAlignment="1">
      <alignment horizontal="center" vertical="center"/>
    </xf>
    <xf numFmtId="0" fontId="21" fillId="0" borderId="0" xfId="0" applyFont="1" applyAlignment="1">
      <alignment horizontal="center" vertical="center"/>
    </xf>
    <xf numFmtId="0" fontId="8" fillId="0" borderId="0" xfId="0" applyFont="1" applyFill="1" applyBorder="1"/>
    <xf numFmtId="0" fontId="8" fillId="0" borderId="0" xfId="0" quotePrefix="1" applyFont="1" applyFill="1" applyBorder="1" applyAlignment="1">
      <alignment horizontal="center"/>
    </xf>
    <xf numFmtId="0" fontId="20" fillId="0" borderId="0" xfId="0" applyFont="1" applyFill="1" applyBorder="1" applyAlignment="1">
      <alignment horizontal="center"/>
    </xf>
    <xf numFmtId="0" fontId="24" fillId="0" borderId="0" xfId="0" applyFont="1" applyAlignment="1">
      <alignment vertical="center"/>
    </xf>
    <xf numFmtId="0" fontId="9" fillId="0" borderId="0" xfId="0" applyFont="1" applyAlignment="1">
      <alignment vertical="center"/>
    </xf>
    <xf numFmtId="0" fontId="8" fillId="0" borderId="0" xfId="0" applyFont="1" applyBorder="1" applyAlignment="1">
      <alignment horizontal="right"/>
    </xf>
    <xf numFmtId="0" fontId="15" fillId="0" borderId="0" xfId="0" applyFont="1" applyFill="1" applyBorder="1"/>
    <xf numFmtId="0" fontId="15" fillId="0" borderId="0" xfId="0" applyFont="1" applyFill="1" applyBorder="1" applyAlignment="1">
      <alignment horizontal="center"/>
    </xf>
    <xf numFmtId="1" fontId="20" fillId="0" borderId="0" xfId="0" applyNumberFormat="1" applyFont="1" applyFill="1" applyBorder="1" applyAlignment="1">
      <alignment horizontal="center"/>
    </xf>
    <xf numFmtId="0" fontId="8" fillId="0" borderId="0" xfId="0" applyFont="1" applyFill="1" applyBorder="1" applyAlignment="1">
      <alignment vertical="center"/>
    </xf>
    <xf numFmtId="0" fontId="8" fillId="0" borderId="0" xfId="0" applyFont="1" applyFill="1" applyBorder="1" applyAlignment="1">
      <alignment horizontal="left" vertical="center"/>
    </xf>
    <xf numFmtId="0" fontId="8" fillId="0" borderId="0" xfId="0" applyFont="1" applyAlignment="1">
      <alignment horizontal="center" vertical="center"/>
    </xf>
    <xf numFmtId="0" fontId="8" fillId="0" borderId="0" xfId="0" applyFont="1" applyAlignment="1">
      <alignment vertical="center"/>
    </xf>
    <xf numFmtId="0" fontId="8" fillId="0" borderId="2" xfId="0" applyFont="1" applyBorder="1" applyAlignment="1">
      <alignment horizontal="center" vertical="center"/>
    </xf>
    <xf numFmtId="0" fontId="8" fillId="0" borderId="0" xfId="0" applyFont="1" applyBorder="1" applyAlignment="1">
      <alignment horizontal="center" vertical="center"/>
    </xf>
    <xf numFmtId="165" fontId="8" fillId="0" borderId="0" xfId="0" applyNumberFormat="1" applyFont="1" applyAlignment="1">
      <alignment horizontal="center" vertical="center"/>
    </xf>
    <xf numFmtId="0" fontId="8" fillId="0" borderId="0" xfId="0" applyFont="1" applyBorder="1" applyAlignment="1">
      <alignment horizontal="center"/>
    </xf>
    <xf numFmtId="0" fontId="8" fillId="0" borderId="0" xfId="0" quotePrefix="1" applyFont="1" applyBorder="1" applyAlignment="1">
      <alignment horizontal="center"/>
    </xf>
    <xf numFmtId="0" fontId="8" fillId="0" borderId="0" xfId="0" quotePrefix="1" applyFont="1" applyBorder="1"/>
    <xf numFmtId="0" fontId="8" fillId="0" borderId="2" xfId="0" applyFont="1" applyFill="1" applyBorder="1"/>
    <xf numFmtId="0" fontId="8" fillId="0" borderId="2" xfId="0" applyFont="1" applyBorder="1"/>
    <xf numFmtId="0" fontId="15" fillId="0" borderId="0" xfId="0" applyFont="1" applyBorder="1" applyAlignment="1">
      <alignment horizontal="left"/>
    </xf>
    <xf numFmtId="0" fontId="8" fillId="0" borderId="2" xfId="0" applyFont="1" applyBorder="1" applyAlignment="1">
      <alignment horizontal="center"/>
    </xf>
    <xf numFmtId="0" fontId="15" fillId="0" borderId="0" xfId="0" applyFont="1" applyBorder="1" applyAlignment="1"/>
    <xf numFmtId="0" fontId="8" fillId="0" borderId="2" xfId="0" applyFont="1" applyBorder="1" applyAlignment="1">
      <alignment vertical="center" wrapText="1"/>
    </xf>
    <xf numFmtId="0" fontId="22" fillId="0" borderId="0" xfId="0" applyFont="1" applyBorder="1"/>
    <xf numFmtId="0" fontId="8" fillId="0" borderId="4" xfId="0" applyFont="1" applyBorder="1"/>
    <xf numFmtId="0" fontId="8" fillId="0" borderId="5" xfId="0" applyFont="1" applyBorder="1" applyAlignment="1">
      <alignment horizontal="center" vertical="center"/>
    </xf>
    <xf numFmtId="0" fontId="8" fillId="0" borderId="7" xfId="0" applyFont="1" applyBorder="1" applyAlignment="1">
      <alignment horizontal="center" vertical="center"/>
    </xf>
    <xf numFmtId="0" fontId="8" fillId="0" borderId="7" xfId="0" applyFont="1" applyBorder="1" applyAlignment="1">
      <alignment horizontal="center" vertical="center"/>
    </xf>
    <xf numFmtId="0" fontId="8" fillId="0" borderId="6" xfId="0" applyFont="1" applyBorder="1" applyAlignment="1">
      <alignment horizontal="center" vertical="center"/>
    </xf>
    <xf numFmtId="0" fontId="8" fillId="0" borderId="6" xfId="0" applyFont="1" applyBorder="1" applyAlignment="1">
      <alignment vertical="center"/>
    </xf>
    <xf numFmtId="0" fontId="8" fillId="0" borderId="10" xfId="0" applyFont="1" applyBorder="1" applyAlignment="1">
      <alignment horizontal="center" vertical="center"/>
    </xf>
    <xf numFmtId="0" fontId="8" fillId="0" borderId="8" xfId="0" applyFont="1" applyBorder="1" applyAlignment="1">
      <alignment horizontal="center" vertical="center"/>
    </xf>
    <xf numFmtId="0" fontId="8" fillId="0" borderId="11" xfId="0" applyFont="1" applyBorder="1" applyAlignment="1">
      <alignment horizontal="center" vertical="center"/>
    </xf>
    <xf numFmtId="0" fontId="8" fillId="0" borderId="0" xfId="0" applyFont="1" applyAlignment="1">
      <alignment horizontal="left"/>
    </xf>
    <xf numFmtId="0" fontId="8" fillId="0" borderId="0" xfId="0" applyFont="1" applyAlignment="1">
      <alignment vertical="center" wrapText="1"/>
    </xf>
    <xf numFmtId="2" fontId="16" fillId="0" borderId="0" xfId="0" applyNumberFormat="1" applyFont="1" applyAlignment="1">
      <alignment horizontal="center" vertical="center"/>
    </xf>
    <xf numFmtId="0" fontId="16" fillId="0" borderId="0" xfId="0" applyFont="1" applyAlignment="1">
      <alignment horizontal="left" vertical="center" wrapText="1"/>
    </xf>
    <xf numFmtId="0" fontId="8" fillId="0" borderId="0" xfId="0" applyFont="1" applyAlignment="1">
      <alignment horizontal="center" vertical="center" wrapText="1"/>
    </xf>
    <xf numFmtId="2" fontId="8" fillId="0" borderId="0" xfId="0" applyNumberFormat="1" applyFont="1" applyAlignment="1">
      <alignment horizontal="center" vertical="center"/>
    </xf>
    <xf numFmtId="0" fontId="8" fillId="0" borderId="0" xfId="0" applyFont="1" applyAlignment="1">
      <alignment horizontal="right"/>
    </xf>
    <xf numFmtId="1" fontId="8" fillId="0" borderId="0" xfId="0" applyNumberFormat="1" applyFont="1" applyBorder="1" applyAlignment="1">
      <alignment horizontal="center" vertical="center"/>
    </xf>
    <xf numFmtId="0" fontId="16" fillId="0" borderId="0" xfId="0" applyFont="1" applyBorder="1" applyAlignment="1">
      <alignment horizontal="center" vertical="center"/>
    </xf>
    <xf numFmtId="2" fontId="16" fillId="0" borderId="0" xfId="0" applyNumberFormat="1" applyFont="1" applyAlignment="1">
      <alignment vertical="center"/>
    </xf>
    <xf numFmtId="2" fontId="8" fillId="0" borderId="0" xfId="0" applyNumberFormat="1" applyFont="1" applyAlignment="1">
      <alignment vertical="center"/>
    </xf>
    <xf numFmtId="1" fontId="8" fillId="0" borderId="0" xfId="0" applyNumberFormat="1" applyFont="1" applyBorder="1" applyAlignment="1">
      <alignment horizontal="center"/>
    </xf>
    <xf numFmtId="1" fontId="8" fillId="0" borderId="0" xfId="0" applyNumberFormat="1" applyFont="1" applyBorder="1" applyAlignment="1"/>
    <xf numFmtId="0" fontId="15" fillId="0" borderId="0" xfId="0" applyFont="1" applyFill="1" applyBorder="1" applyAlignment="1">
      <alignment vertical="center"/>
    </xf>
    <xf numFmtId="0" fontId="8" fillId="0" borderId="2" xfId="0" applyFont="1" applyBorder="1" applyAlignment="1">
      <alignment vertical="center"/>
    </xf>
    <xf numFmtId="0" fontId="8" fillId="0" borderId="4" xfId="0" applyFont="1" applyBorder="1" applyAlignment="1">
      <alignment horizontal="center" vertical="center"/>
    </xf>
    <xf numFmtId="0" fontId="8" fillId="0" borderId="9"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8" xfId="0" applyFont="1" applyBorder="1" applyAlignment="1">
      <alignment vertical="center"/>
    </xf>
    <xf numFmtId="0" fontId="8" fillId="0" borderId="0" xfId="0" applyFont="1" applyBorder="1" applyAlignment="1">
      <alignment horizontal="center" vertical="top"/>
    </xf>
    <xf numFmtId="0" fontId="19" fillId="0" borderId="0" xfId="0" applyFont="1" applyAlignment="1">
      <alignment horizontal="center" vertical="center"/>
    </xf>
    <xf numFmtId="168" fontId="15" fillId="0" borderId="0" xfId="0" applyNumberFormat="1" applyFont="1" applyBorder="1" applyAlignment="1">
      <alignment horizontal="left"/>
    </xf>
    <xf numFmtId="0" fontId="8" fillId="0" borderId="2" xfId="0" applyFont="1" applyBorder="1" applyAlignment="1">
      <alignment horizontal="center" vertical="center"/>
    </xf>
    <xf numFmtId="0" fontId="8" fillId="0" borderId="13" xfId="0" applyFont="1" applyBorder="1" applyAlignment="1">
      <alignment horizontal="center" vertical="center"/>
    </xf>
    <xf numFmtId="0" fontId="8" fillId="0" borderId="0"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8" fillId="0" borderId="6" xfId="0" applyFont="1" applyBorder="1" applyAlignment="1">
      <alignment horizontal="center" vertical="center"/>
    </xf>
    <xf numFmtId="0" fontId="8" fillId="0" borderId="8" xfId="0" applyFont="1" applyBorder="1" applyAlignment="1">
      <alignment horizontal="center" vertical="center"/>
    </xf>
    <xf numFmtId="165" fontId="16" fillId="0" borderId="0" xfId="0" applyNumberFormat="1" applyFont="1" applyAlignment="1">
      <alignment horizontal="center" vertical="center"/>
    </xf>
    <xf numFmtId="0" fontId="8" fillId="0" borderId="0" xfId="0" applyFont="1" applyBorder="1" applyAlignment="1"/>
    <xf numFmtId="0" fontId="27" fillId="0" borderId="0" xfId="0" applyFont="1" applyBorder="1" applyAlignment="1">
      <alignment horizontal="center"/>
    </xf>
    <xf numFmtId="1" fontId="8" fillId="0" borderId="7" xfId="0" applyNumberFormat="1" applyFont="1" applyBorder="1" applyAlignment="1">
      <alignment vertical="center"/>
    </xf>
    <xf numFmtId="165" fontId="8" fillId="0" borderId="7" xfId="0" applyNumberFormat="1" applyFont="1" applyBorder="1" applyAlignment="1">
      <alignment vertical="center"/>
    </xf>
    <xf numFmtId="0" fontId="8" fillId="0" borderId="7" xfId="0" applyFont="1" applyBorder="1" applyAlignment="1">
      <alignment vertical="center"/>
    </xf>
    <xf numFmtId="0" fontId="28" fillId="0" borderId="0" xfId="0" applyFont="1" applyAlignment="1">
      <alignment horizontal="center" vertical="center"/>
    </xf>
    <xf numFmtId="0" fontId="8" fillId="0" borderId="5" xfId="0" applyFont="1" applyBorder="1" applyAlignment="1">
      <alignment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2" xfId="0" applyFont="1" applyBorder="1" applyAlignment="1">
      <alignment horizontal="center" vertical="center"/>
    </xf>
    <xf numFmtId="0" fontId="8" fillId="0" borderId="8" xfId="0" applyFont="1" applyBorder="1" applyAlignment="1">
      <alignment horizontal="center" vertical="center"/>
    </xf>
    <xf numFmtId="0" fontId="8" fillId="0" borderId="13" xfId="0" applyFont="1" applyBorder="1" applyAlignment="1">
      <alignment horizontal="center" vertical="center"/>
    </xf>
    <xf numFmtId="0" fontId="8" fillId="0" borderId="0" xfId="0" applyFont="1" applyBorder="1" applyAlignment="1">
      <alignment vertical="center"/>
    </xf>
    <xf numFmtId="0" fontId="8" fillId="0" borderId="10" xfId="0" applyFont="1" applyBorder="1"/>
    <xf numFmtId="0" fontId="8" fillId="0" borderId="12" xfId="0" applyFont="1" applyBorder="1"/>
    <xf numFmtId="0" fontId="8" fillId="0" borderId="7" xfId="0" applyFont="1" applyBorder="1" applyAlignment="1">
      <alignment horizontal="left" vertical="center"/>
    </xf>
    <xf numFmtId="0" fontId="8" fillId="0" borderId="0" xfId="0" applyFont="1" applyAlignment="1">
      <alignment horizontal="left" vertical="center"/>
    </xf>
    <xf numFmtId="0" fontId="8" fillId="0" borderId="10" xfId="0" applyFont="1" applyBorder="1" applyAlignment="1">
      <alignment horizontal="left" vertical="center"/>
    </xf>
    <xf numFmtId="0" fontId="8" fillId="0" borderId="2" xfId="0" applyFont="1" applyBorder="1" applyAlignment="1">
      <alignment horizontal="center" vertical="center"/>
    </xf>
    <xf numFmtId="0" fontId="8" fillId="0" borderId="13" xfId="0" applyFont="1" applyBorder="1" applyAlignment="1">
      <alignment horizontal="center" vertical="center"/>
    </xf>
    <xf numFmtId="0" fontId="8" fillId="0" borderId="0" xfId="0" applyFont="1" applyBorder="1" applyAlignment="1">
      <alignment horizontal="center" vertical="center"/>
    </xf>
    <xf numFmtId="0" fontId="8" fillId="0" borderId="8"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Alignment="1">
      <alignment horizontal="center" vertical="center"/>
    </xf>
    <xf numFmtId="0" fontId="8" fillId="0" borderId="8" xfId="0" applyFont="1" applyBorder="1"/>
    <xf numFmtId="0" fontId="15" fillId="0" borderId="0" xfId="0" applyFont="1" applyFill="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vertical="top"/>
    </xf>
    <xf numFmtId="0" fontId="25" fillId="0" borderId="2" xfId="0" applyFont="1" applyBorder="1" applyAlignment="1">
      <alignment horizontal="center" vertical="center"/>
    </xf>
    <xf numFmtId="0" fontId="25" fillId="0" borderId="0" xfId="0" applyFont="1" applyBorder="1" applyAlignment="1">
      <alignment horizontal="center" vertical="center"/>
    </xf>
    <xf numFmtId="0" fontId="15" fillId="0" borderId="5" xfId="0" applyFont="1" applyBorder="1" applyAlignment="1">
      <alignment horizontal="center" vertical="center"/>
    </xf>
    <xf numFmtId="0" fontId="15" fillId="0" borderId="7" xfId="0" applyFont="1" applyBorder="1" applyAlignment="1">
      <alignment horizontal="center" vertical="center"/>
    </xf>
    <xf numFmtId="0" fontId="26" fillId="0" borderId="0" xfId="0" applyFont="1" applyAlignment="1">
      <alignment vertical="top"/>
    </xf>
    <xf numFmtId="0" fontId="26" fillId="0" borderId="2" xfId="0" applyFont="1" applyBorder="1" applyAlignment="1">
      <alignment vertical="top"/>
    </xf>
    <xf numFmtId="0" fontId="8" fillId="0" borderId="0" xfId="0" applyFont="1" applyBorder="1" applyAlignment="1">
      <alignment horizontal="left" vertical="top"/>
    </xf>
    <xf numFmtId="165" fontId="8" fillId="0" borderId="0" xfId="0" applyNumberFormat="1" applyFont="1" applyBorder="1" applyAlignment="1"/>
    <xf numFmtId="0" fontId="20" fillId="0" borderId="0" xfId="0" applyFont="1" applyBorder="1" applyAlignment="1"/>
    <xf numFmtId="0" fontId="8" fillId="0" borderId="9" xfId="0" applyFont="1" applyBorder="1" applyAlignment="1">
      <alignment vertical="center"/>
    </xf>
    <xf numFmtId="0" fontId="8" fillId="0" borderId="12" xfId="0" applyFont="1" applyBorder="1" applyAlignment="1">
      <alignment vertical="center"/>
    </xf>
    <xf numFmtId="0" fontId="8" fillId="0" borderId="0" xfId="0" applyFont="1" applyBorder="1" applyAlignment="1">
      <alignment horizontal="left" vertical="center"/>
    </xf>
    <xf numFmtId="0" fontId="33" fillId="0" borderId="0" xfId="0" applyFont="1" applyAlignment="1">
      <alignment vertical="center"/>
    </xf>
    <xf numFmtId="0" fontId="8" fillId="0" borderId="8" xfId="0" applyFont="1" applyBorder="1" applyAlignment="1">
      <alignment horizontal="center"/>
    </xf>
    <xf numFmtId="0" fontId="8" fillId="0" borderId="7" xfId="0" applyFont="1" applyBorder="1"/>
    <xf numFmtId="0" fontId="8" fillId="0" borderId="7" xfId="0" applyFont="1" applyBorder="1" applyAlignment="1">
      <alignment horizontal="left" vertical="top"/>
    </xf>
    <xf numFmtId="0" fontId="33" fillId="0" borderId="7" xfId="0" applyFont="1" applyBorder="1" applyAlignment="1">
      <alignment vertical="center"/>
    </xf>
    <xf numFmtId="0" fontId="33" fillId="0" borderId="6" xfId="0" applyFont="1" applyBorder="1" applyAlignment="1">
      <alignment vertical="center"/>
    </xf>
    <xf numFmtId="0" fontId="8" fillId="0" borderId="10" xfId="0" applyFont="1" applyBorder="1" applyAlignment="1">
      <alignment vertical="center"/>
    </xf>
    <xf numFmtId="2" fontId="8" fillId="0" borderId="8" xfId="0" applyNumberFormat="1" applyFont="1" applyBorder="1" applyAlignment="1">
      <alignment vertical="center"/>
    </xf>
    <xf numFmtId="1" fontId="8" fillId="0" borderId="8" xfId="0" applyNumberFormat="1" applyFont="1" applyBorder="1" applyAlignment="1">
      <alignment vertical="center"/>
    </xf>
    <xf numFmtId="1" fontId="8" fillId="0" borderId="2" xfId="0" applyNumberFormat="1" applyFont="1" applyBorder="1" applyAlignment="1">
      <alignment vertical="center"/>
    </xf>
    <xf numFmtId="2" fontId="16" fillId="0" borderId="8" xfId="0" applyNumberFormat="1" applyFont="1" applyBorder="1" applyAlignment="1">
      <alignment vertical="center"/>
    </xf>
    <xf numFmtId="0" fontId="19" fillId="0" borderId="12" xfId="0" applyFont="1" applyBorder="1" applyAlignment="1">
      <alignment horizontal="left" vertical="center"/>
    </xf>
    <xf numFmtId="0" fontId="8" fillId="0" borderId="13" xfId="0" applyFont="1" applyBorder="1" applyAlignment="1">
      <alignment vertical="center"/>
    </xf>
    <xf numFmtId="0" fontId="8" fillId="0" borderId="0" xfId="0" applyFont="1" applyAlignment="1">
      <alignment horizontal="left" wrapText="1"/>
    </xf>
    <xf numFmtId="0" fontId="8" fillId="0" borderId="0" xfId="0" applyFont="1" applyAlignment="1">
      <alignment horizontal="center" vertical="center"/>
    </xf>
    <xf numFmtId="0" fontId="25" fillId="0" borderId="2" xfId="0" applyFont="1" applyBorder="1" applyAlignment="1">
      <alignment horizontal="center" vertical="center"/>
    </xf>
    <xf numFmtId="0" fontId="8" fillId="0" borderId="2" xfId="0" applyFont="1" applyBorder="1" applyAlignment="1">
      <alignment horizontal="center" vertical="center"/>
    </xf>
    <xf numFmtId="0" fontId="8" fillId="0" borderId="8" xfId="0" applyFont="1" applyBorder="1" applyAlignment="1">
      <alignment horizontal="center" vertical="center"/>
    </xf>
    <xf numFmtId="0" fontId="25" fillId="0" borderId="0"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11" xfId="0" applyFont="1" applyBorder="1" applyAlignment="1">
      <alignment horizontal="center" vertical="center"/>
    </xf>
    <xf numFmtId="0" fontId="8" fillId="0" borderId="13" xfId="0" applyFont="1" applyBorder="1" applyAlignment="1">
      <alignment horizontal="center" vertical="center"/>
    </xf>
    <xf numFmtId="0" fontId="8" fillId="0" borderId="6" xfId="0" applyFont="1" applyBorder="1" applyAlignment="1">
      <alignment horizontal="center" vertical="center"/>
    </xf>
    <xf numFmtId="0" fontId="15" fillId="0" borderId="0" xfId="0" applyFont="1" applyFill="1" applyBorder="1" applyAlignment="1">
      <alignment horizontal="center" vertical="center"/>
    </xf>
    <xf numFmtId="0" fontId="8" fillId="0" borderId="1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xf>
    <xf numFmtId="0" fontId="17" fillId="0" borderId="7" xfId="0" applyFont="1" applyBorder="1"/>
    <xf numFmtId="0" fontId="8" fillId="0" borderId="5" xfId="0" applyFont="1" applyBorder="1"/>
    <xf numFmtId="0" fontId="8" fillId="0" borderId="9" xfId="0" applyFont="1" applyBorder="1" applyAlignment="1">
      <alignment horizontal="center"/>
    </xf>
    <xf numFmtId="0" fontId="8" fillId="0" borderId="0" xfId="0" applyFont="1" applyBorder="1" applyAlignment="1">
      <alignment horizontal="left" vertical="center"/>
    </xf>
    <xf numFmtId="0" fontId="8" fillId="0" borderId="0" xfId="0" applyFont="1" applyAlignment="1">
      <alignment horizontal="center" vertical="center"/>
    </xf>
    <xf numFmtId="0" fontId="8" fillId="0" borderId="0" xfId="0" applyFont="1" applyBorder="1" applyAlignment="1">
      <alignment horizontal="center" vertical="center"/>
    </xf>
    <xf numFmtId="0" fontId="8" fillId="0" borderId="5" xfId="0" applyFont="1" applyBorder="1" applyAlignment="1"/>
    <xf numFmtId="0" fontId="8" fillId="0" borderId="7" xfId="0" applyFont="1" applyBorder="1" applyAlignment="1"/>
    <xf numFmtId="0" fontId="8" fillId="0" borderId="6" xfId="0" applyFont="1" applyBorder="1" applyAlignment="1"/>
    <xf numFmtId="0" fontId="28" fillId="0" borderId="5" xfId="0" applyFont="1" applyBorder="1" applyAlignment="1"/>
    <xf numFmtId="0" fontId="28" fillId="0" borderId="7" xfId="0" applyFont="1" applyBorder="1" applyAlignment="1"/>
    <xf numFmtId="0" fontId="28" fillId="0" borderId="6" xfId="0" applyFont="1" applyBorder="1" applyAlignment="1"/>
    <xf numFmtId="0" fontId="0" fillId="0" borderId="5" xfId="0" applyFill="1" applyBorder="1" applyAlignment="1"/>
    <xf numFmtId="0" fontId="0" fillId="0" borderId="7" xfId="0" applyFill="1" applyBorder="1" applyAlignment="1"/>
    <xf numFmtId="0" fontId="0" fillId="0" borderId="6" xfId="0" applyFill="1" applyBorder="1" applyAlignment="1"/>
    <xf numFmtId="0" fontId="0" fillId="0" borderId="0" xfId="0" applyFill="1" applyBorder="1" applyAlignment="1"/>
    <xf numFmtId="0" fontId="8" fillId="0" borderId="5" xfId="0" applyFont="1" applyFill="1" applyBorder="1" applyAlignment="1"/>
    <xf numFmtId="0" fontId="8" fillId="0" borderId="7" xfId="0" applyFont="1" applyFill="1" applyBorder="1" applyAlignment="1"/>
    <xf numFmtId="0" fontId="17" fillId="0" borderId="5" xfId="0" applyFont="1" applyFill="1" applyBorder="1" applyAlignment="1"/>
    <xf numFmtId="0" fontId="17" fillId="0" borderId="7" xfId="0" applyFont="1" applyFill="1" applyBorder="1" applyAlignment="1"/>
    <xf numFmtId="0" fontId="0" fillId="0" borderId="7" xfId="0" applyFill="1" applyBorder="1" applyAlignment="1">
      <alignment wrapText="1"/>
    </xf>
    <xf numFmtId="0" fontId="0" fillId="0" borderId="0" xfId="0" applyBorder="1" applyAlignment="1"/>
    <xf numFmtId="0" fontId="8" fillId="0" borderId="0" xfId="0" applyFont="1" applyFill="1" applyBorder="1" applyAlignment="1"/>
    <xf numFmtId="0" fontId="21" fillId="0" borderId="0" xfId="0" applyFont="1" applyAlignment="1">
      <alignment horizontal="left" vertical="center"/>
    </xf>
    <xf numFmtId="0" fontId="0" fillId="0" borderId="7" xfId="0" applyBorder="1" applyAlignment="1"/>
    <xf numFmtId="0" fontId="0" fillId="0" borderId="6" xfId="0" applyBorder="1" applyAlignment="1"/>
    <xf numFmtId="0" fontId="34" fillId="0" borderId="5" xfId="0" applyFont="1" applyBorder="1" applyAlignment="1"/>
    <xf numFmtId="0" fontId="34" fillId="0" borderId="7" xfId="0" applyFont="1" applyBorder="1" applyAlignment="1"/>
    <xf numFmtId="0" fontId="36" fillId="0" borderId="5" xfId="0" applyFont="1" applyBorder="1" applyAlignment="1">
      <alignment vertical="center"/>
    </xf>
    <xf numFmtId="0" fontId="36" fillId="0" borderId="7" xfId="0" applyFont="1" applyBorder="1" applyAlignment="1">
      <alignment vertical="center"/>
    </xf>
    <xf numFmtId="0" fontId="36" fillId="0" borderId="6" xfId="0" applyFont="1" applyBorder="1" applyAlignment="1">
      <alignment vertical="center"/>
    </xf>
    <xf numFmtId="0" fontId="33" fillId="0" borderId="6" xfId="0" applyFont="1" applyBorder="1" applyAlignment="1"/>
    <xf numFmtId="0" fontId="8" fillId="0" borderId="10" xfId="0" applyFont="1" applyBorder="1" applyAlignment="1"/>
    <xf numFmtId="0" fontId="8" fillId="0" borderId="8" xfId="0" applyFont="1" applyBorder="1" applyAlignment="1"/>
    <xf numFmtId="0" fontId="8" fillId="0" borderId="11" xfId="0" applyFont="1" applyBorder="1" applyAlignment="1"/>
    <xf numFmtId="0" fontId="0" fillId="2" borderId="5" xfId="0" applyFont="1" applyFill="1" applyBorder="1" applyAlignment="1"/>
    <xf numFmtId="0" fontId="0" fillId="2" borderId="7" xfId="0" applyFont="1" applyFill="1" applyBorder="1" applyAlignment="1"/>
    <xf numFmtId="0" fontId="0" fillId="2" borderId="6" xfId="0" applyFont="1" applyFill="1" applyBorder="1" applyAlignment="1"/>
    <xf numFmtId="0" fontId="8" fillId="0" borderId="12" xfId="0" applyFont="1" applyBorder="1" applyAlignment="1"/>
    <xf numFmtId="0" fontId="8" fillId="0" borderId="2" xfId="0" applyFont="1" applyBorder="1" applyAlignment="1"/>
    <xf numFmtId="0" fontId="8" fillId="0" borderId="13" xfId="0" applyFont="1" applyBorder="1" applyAlignment="1"/>
    <xf numFmtId="0" fontId="9" fillId="0" borderId="0" xfId="0" applyFont="1"/>
    <xf numFmtId="0" fontId="44" fillId="0" borderId="0" xfId="0" applyFont="1"/>
    <xf numFmtId="0" fontId="8" fillId="0" borderId="0" xfId="0" applyFont="1" applyFill="1"/>
    <xf numFmtId="0" fontId="46" fillId="0" borderId="0" xfId="0" applyFont="1"/>
    <xf numFmtId="0" fontId="8" fillId="0" borderId="9" xfId="0" applyFont="1" applyFill="1" applyBorder="1" applyAlignment="1"/>
    <xf numFmtId="0" fontId="8" fillId="0" borderId="9" xfId="0" applyFont="1" applyFill="1" applyBorder="1" applyAlignment="1">
      <alignment vertical="top" wrapText="1"/>
    </xf>
    <xf numFmtId="0" fontId="15" fillId="0" borderId="9" xfId="0" applyFont="1" applyFill="1" applyBorder="1" applyAlignment="1"/>
    <xf numFmtId="0" fontId="15" fillId="0" borderId="9" xfId="0" applyFont="1" applyBorder="1" applyAlignment="1"/>
    <xf numFmtId="2" fontId="8" fillId="0" borderId="9" xfId="0" applyNumberFormat="1" applyFont="1" applyBorder="1" applyAlignment="1"/>
    <xf numFmtId="1" fontId="8" fillId="0" borderId="9" xfId="0" applyNumberFormat="1" applyFont="1" applyBorder="1" applyAlignment="1"/>
    <xf numFmtId="11" fontId="8" fillId="0" borderId="9" xfId="0" applyNumberFormat="1" applyFont="1" applyBorder="1" applyAlignment="1">
      <alignment vertical="center"/>
    </xf>
    <xf numFmtId="0" fontId="33" fillId="0" borderId="9" xfId="0" applyFont="1" applyFill="1" applyBorder="1" applyAlignment="1"/>
    <xf numFmtId="164" fontId="8" fillId="0" borderId="9" xfId="0" applyNumberFormat="1" applyFont="1" applyFill="1" applyBorder="1" applyAlignment="1"/>
    <xf numFmtId="0" fontId="8" fillId="0" borderId="4" xfId="0" applyFont="1" applyFill="1" applyBorder="1"/>
    <xf numFmtId="0" fontId="51" fillId="0" borderId="0" xfId="0" applyFont="1"/>
    <xf numFmtId="0" fontId="11" fillId="0" borderId="0" xfId="0" applyFont="1"/>
    <xf numFmtId="176" fontId="15" fillId="0" borderId="0" xfId="0" applyNumberFormat="1" applyFont="1" applyAlignment="1"/>
    <xf numFmtId="176" fontId="15" fillId="0" borderId="0" xfId="0" applyNumberFormat="1" applyFont="1" applyAlignment="1">
      <alignment horizontal="center" vertical="center"/>
    </xf>
    <xf numFmtId="177" fontId="15" fillId="0" borderId="0" xfId="0" applyNumberFormat="1" applyFont="1" applyAlignment="1"/>
    <xf numFmtId="177" fontId="54" fillId="0" borderId="0" xfId="0" applyNumberFormat="1" applyFont="1" applyAlignment="1"/>
    <xf numFmtId="0" fontId="8" fillId="0" borderId="0" xfId="0" applyFont="1" applyAlignment="1"/>
    <xf numFmtId="175" fontId="8" fillId="0" borderId="0" xfId="0" applyNumberFormat="1" applyFont="1" applyAlignment="1">
      <alignment horizontal="left"/>
    </xf>
    <xf numFmtId="176" fontId="15" fillId="0" borderId="0" xfId="0" applyNumberFormat="1" applyFont="1" applyAlignment="1">
      <alignment horizontal="right" vertical="center"/>
    </xf>
    <xf numFmtId="176" fontId="15" fillId="0" borderId="0" xfId="0" applyNumberFormat="1" applyFont="1" applyAlignment="1">
      <alignment vertical="center"/>
    </xf>
    <xf numFmtId="175" fontId="8" fillId="0" borderId="0" xfId="0" applyNumberFormat="1" applyFont="1" applyBorder="1" applyAlignment="1">
      <alignment vertical="center"/>
    </xf>
    <xf numFmtId="178" fontId="8" fillId="0" borderId="0" xfId="0" applyNumberFormat="1" applyFont="1" applyAlignment="1">
      <alignment horizontal="left"/>
    </xf>
    <xf numFmtId="178" fontId="8" fillId="0" borderId="0" xfId="0" applyNumberFormat="1" applyFont="1" applyAlignment="1"/>
    <xf numFmtId="180" fontId="15" fillId="0" borderId="0" xfId="0" applyNumberFormat="1" applyFont="1" applyAlignment="1"/>
    <xf numFmtId="175" fontId="8" fillId="0" borderId="0" xfId="0" applyNumberFormat="1" applyFont="1" applyAlignment="1"/>
    <xf numFmtId="175" fontId="8" fillId="0" borderId="0" xfId="0" applyNumberFormat="1" applyFont="1" applyBorder="1" applyAlignment="1">
      <alignment horizontal="center"/>
    </xf>
    <xf numFmtId="0" fontId="21" fillId="0" borderId="0" xfId="0" applyFont="1"/>
    <xf numFmtId="2" fontId="8" fillId="0" borderId="0" xfId="0" applyNumberFormat="1" applyFont="1" applyBorder="1" applyAlignment="1"/>
    <xf numFmtId="0" fontId="0" fillId="0" borderId="0" xfId="0" applyBorder="1"/>
    <xf numFmtId="0" fontId="0" fillId="0" borderId="0" xfId="0" applyBorder="1" applyAlignment="1">
      <alignment horizontal="center"/>
    </xf>
    <xf numFmtId="1" fontId="0" fillId="0" borderId="0" xfId="0" applyNumberFormat="1" applyBorder="1" applyAlignment="1">
      <alignment horizontal="center"/>
    </xf>
    <xf numFmtId="0" fontId="27" fillId="0" borderId="0" xfId="0" applyFont="1" applyFill="1" applyBorder="1"/>
    <xf numFmtId="0" fontId="54" fillId="0" borderId="0" xfId="0" applyFont="1" applyFill="1" applyBorder="1"/>
    <xf numFmtId="0" fontId="8" fillId="0" borderId="0" xfId="0" applyFont="1" applyFill="1" applyBorder="1" applyAlignment="1">
      <alignment horizontal="left"/>
    </xf>
    <xf numFmtId="0" fontId="58" fillId="0" borderId="0" xfId="0" applyFont="1" applyBorder="1" applyAlignment="1">
      <alignment horizontal="left"/>
    </xf>
    <xf numFmtId="2" fontId="8" fillId="0" borderId="0" xfId="0" applyNumberFormat="1" applyFont="1" applyFill="1" applyBorder="1" applyAlignment="1"/>
    <xf numFmtId="0" fontId="11" fillId="0" borderId="0" xfId="0" applyFont="1" applyBorder="1"/>
    <xf numFmtId="0" fontId="1" fillId="0" borderId="0" xfId="0" applyFont="1" applyFill="1" applyBorder="1" applyAlignment="1"/>
    <xf numFmtId="1" fontId="8" fillId="0" borderId="0" xfId="0" applyNumberFormat="1" applyFont="1" applyFill="1" applyBorder="1" applyAlignment="1"/>
    <xf numFmtId="0" fontId="8" fillId="0" borderId="0" xfId="0" applyFont="1" applyAlignment="1">
      <alignment horizontal="left" wrapText="1"/>
    </xf>
    <xf numFmtId="0" fontId="8" fillId="0" borderId="0" xfId="0" applyFont="1" applyBorder="1" applyAlignment="1">
      <alignment horizontal="center"/>
    </xf>
    <xf numFmtId="0" fontId="8" fillId="0" borderId="7" xfId="0" applyFont="1" applyBorder="1" applyAlignment="1">
      <alignment horizontal="center" vertical="center"/>
    </xf>
    <xf numFmtId="0" fontId="8" fillId="0" borderId="0" xfId="0" applyFont="1" applyBorder="1" applyAlignment="1">
      <alignment horizontal="right"/>
    </xf>
    <xf numFmtId="2" fontId="8" fillId="0" borderId="0" xfId="0" applyNumberFormat="1" applyFont="1" applyBorder="1" applyAlignment="1">
      <alignment horizontal="center"/>
    </xf>
    <xf numFmtId="0" fontId="8" fillId="0" borderId="0" xfId="0" applyFont="1" applyBorder="1" applyAlignment="1">
      <alignment horizontal="center" vertical="center"/>
    </xf>
    <xf numFmtId="0" fontId="8" fillId="0" borderId="0" xfId="0" applyFont="1" applyFill="1" applyBorder="1" applyAlignment="1">
      <alignment horizontal="center"/>
    </xf>
    <xf numFmtId="0" fontId="8" fillId="0" borderId="8" xfId="0" applyFont="1" applyBorder="1" applyAlignment="1">
      <alignment horizontal="center"/>
    </xf>
    <xf numFmtId="0" fontId="25" fillId="0" borderId="0" xfId="0" applyFont="1" applyBorder="1" applyAlignment="1">
      <alignment horizontal="center" vertical="center"/>
    </xf>
    <xf numFmtId="0" fontId="8" fillId="0" borderId="2" xfId="0" applyFont="1" applyBorder="1" applyAlignment="1">
      <alignment horizontal="center" vertical="center"/>
    </xf>
    <xf numFmtId="0" fontId="25" fillId="0" borderId="2" xfId="0" applyFont="1" applyBorder="1" applyAlignment="1">
      <alignment horizontal="center" vertical="center"/>
    </xf>
    <xf numFmtId="0" fontId="8" fillId="0" borderId="0" xfId="0" applyFont="1" applyAlignment="1">
      <alignment horizontal="center" vertical="center"/>
    </xf>
    <xf numFmtId="0" fontId="8" fillId="0" borderId="8" xfId="0" applyFont="1" applyBorder="1" applyAlignment="1">
      <alignment horizontal="center" vertical="center"/>
    </xf>
    <xf numFmtId="0" fontId="8" fillId="0" borderId="0" xfId="0" applyFont="1" applyBorder="1"/>
    <xf numFmtId="0" fontId="8" fillId="0" borderId="11" xfId="0" applyFont="1" applyBorder="1" applyAlignment="1">
      <alignment horizontal="center" vertical="center"/>
    </xf>
    <xf numFmtId="0" fontId="8" fillId="0" borderId="13" xfId="0" applyFont="1" applyBorder="1" applyAlignment="1">
      <alignment horizontal="center" vertical="center"/>
    </xf>
    <xf numFmtId="0" fontId="8" fillId="0" borderId="6" xfId="0" applyFont="1" applyBorder="1" applyAlignment="1">
      <alignment horizontal="center" vertical="center"/>
    </xf>
    <xf numFmtId="0" fontId="15" fillId="0" borderId="0" xfId="0" applyFont="1" applyFill="1" applyBorder="1" applyAlignment="1">
      <alignment horizontal="center" vertical="center"/>
    </xf>
    <xf numFmtId="0" fontId="8" fillId="0" borderId="10" xfId="0" applyFont="1" applyBorder="1" applyAlignment="1">
      <alignment horizontal="left" vertical="center"/>
    </xf>
    <xf numFmtId="178" fontId="8" fillId="0" borderId="0" xfId="0" applyNumberFormat="1" applyFont="1" applyAlignment="1">
      <alignment horizontal="left"/>
    </xf>
    <xf numFmtId="175" fontId="8" fillId="0" borderId="0" xfId="0" applyNumberFormat="1" applyFont="1" applyAlignment="1">
      <alignment horizontal="left"/>
    </xf>
    <xf numFmtId="0" fontId="8" fillId="0" borderId="0" xfId="0" applyFont="1" applyAlignment="1">
      <alignment horizontal="right"/>
    </xf>
    <xf numFmtId="0" fontId="8" fillId="0" borderId="7" xfId="0" applyFont="1" applyBorder="1" applyAlignment="1">
      <alignment horizontal="left" vertical="top"/>
    </xf>
    <xf numFmtId="0" fontId="8" fillId="0" borderId="5" xfId="0" applyFont="1" applyBorder="1" applyAlignment="1">
      <alignment horizontal="left" vertical="center"/>
    </xf>
    <xf numFmtId="0" fontId="8" fillId="0" borderId="7" xfId="0" applyFont="1" applyBorder="1" applyAlignment="1">
      <alignment horizontal="left" vertical="center"/>
    </xf>
    <xf numFmtId="0" fontId="8" fillId="0" borderId="6" xfId="0" applyFont="1" applyBorder="1" applyAlignment="1">
      <alignment horizontal="left" vertical="center"/>
    </xf>
    <xf numFmtId="0" fontId="9" fillId="0" borderId="0" xfId="0" applyFont="1" applyAlignment="1">
      <alignment horizontal="left" vertical="center"/>
    </xf>
    <xf numFmtId="0" fontId="8" fillId="0" borderId="0" xfId="0" applyFont="1" applyBorder="1" applyAlignment="1">
      <alignment horizontal="center" vertical="center"/>
    </xf>
    <xf numFmtId="0" fontId="8" fillId="0" borderId="0" xfId="0" applyFont="1" applyAlignment="1">
      <alignment horizontal="center" vertical="center"/>
    </xf>
    <xf numFmtId="0" fontId="8" fillId="0" borderId="8" xfId="0" applyFont="1" applyBorder="1" applyAlignment="1">
      <alignment horizontal="center" vertical="center"/>
    </xf>
    <xf numFmtId="2" fontId="15" fillId="0" borderId="0" xfId="0" applyNumberFormat="1" applyFont="1" applyBorder="1" applyAlignment="1">
      <alignment horizontal="center" vertical="center"/>
    </xf>
    <xf numFmtId="2" fontId="8" fillId="0" borderId="0" xfId="0" applyNumberFormat="1" applyFont="1" applyBorder="1" applyAlignment="1">
      <alignment vertical="center"/>
    </xf>
    <xf numFmtId="2" fontId="11" fillId="0" borderId="0" xfId="0" applyNumberFormat="1" applyFont="1" applyFill="1" applyBorder="1" applyAlignment="1"/>
    <xf numFmtId="2" fontId="15" fillId="0" borderId="0" xfId="0" applyNumberFormat="1" applyFont="1" applyBorder="1" applyAlignment="1"/>
    <xf numFmtId="0" fontId="8" fillId="0" borderId="0" xfId="0" applyFont="1" applyAlignment="1">
      <alignment horizontal="center" vertical="center"/>
    </xf>
    <xf numFmtId="0" fontId="8" fillId="0" borderId="0" xfId="0" applyFont="1" applyBorder="1" applyAlignment="1">
      <alignment horizontal="center" vertical="center"/>
    </xf>
    <xf numFmtId="0" fontId="8" fillId="0" borderId="0" xfId="0" applyFont="1" applyFill="1" applyBorder="1" applyAlignment="1">
      <alignment horizontal="center"/>
    </xf>
    <xf numFmtId="0" fontId="33" fillId="0" borderId="0" xfId="0" applyFont="1" applyBorder="1" applyAlignment="1">
      <alignment horizontal="center" vertical="center"/>
    </xf>
    <xf numFmtId="0" fontId="8" fillId="0" borderId="0" xfId="0" applyFont="1" applyBorder="1"/>
    <xf numFmtId="2" fontId="8" fillId="0" borderId="0" xfId="0" applyNumberFormat="1" applyFont="1" applyBorder="1" applyAlignment="1">
      <alignment horizontal="left"/>
    </xf>
    <xf numFmtId="1" fontId="8" fillId="0" borderId="0" xfId="0" applyNumberFormat="1" applyFont="1" applyBorder="1" applyAlignment="1">
      <alignment horizontal="center" vertical="center"/>
    </xf>
    <xf numFmtId="2" fontId="8" fillId="0" borderId="0" xfId="0" applyNumberFormat="1" applyFont="1" applyBorder="1" applyAlignment="1">
      <alignment horizontal="center"/>
    </xf>
    <xf numFmtId="0" fontId="25" fillId="0" borderId="0" xfId="0" applyFont="1" applyBorder="1" applyAlignment="1">
      <alignment horizontal="center" vertical="center"/>
    </xf>
    <xf numFmtId="174" fontId="25" fillId="0" borderId="0" xfId="0" applyNumberFormat="1" applyFont="1" applyBorder="1" applyAlignment="1">
      <alignment horizontal="center" vertical="center"/>
    </xf>
    <xf numFmtId="0" fontId="15" fillId="0" borderId="0" xfId="0" applyFont="1" applyFill="1" applyBorder="1" applyAlignment="1">
      <alignment horizontal="center"/>
    </xf>
    <xf numFmtId="0" fontId="20" fillId="0" borderId="0" xfId="0" applyFont="1" applyFill="1" applyBorder="1" applyAlignment="1">
      <alignment horizontal="center"/>
    </xf>
    <xf numFmtId="0" fontId="15" fillId="0" borderId="0" xfId="0" applyFont="1" applyFill="1" applyBorder="1" applyAlignment="1">
      <alignment horizontal="center" vertical="center"/>
    </xf>
    <xf numFmtId="1" fontId="20" fillId="0" borderId="0" xfId="0" applyNumberFormat="1" applyFont="1" applyFill="1" applyBorder="1" applyAlignment="1">
      <alignment horizontal="center"/>
    </xf>
    <xf numFmtId="0" fontId="46" fillId="0" borderId="0" xfId="0" applyFont="1" applyBorder="1" applyAlignment="1">
      <alignment horizontal="left" vertical="center"/>
    </xf>
    <xf numFmtId="165" fontId="15" fillId="0" borderId="0" xfId="0" applyNumberFormat="1" applyFont="1" applyBorder="1" applyAlignment="1">
      <alignment horizontal="center" vertical="center"/>
    </xf>
    <xf numFmtId="0" fontId="15" fillId="0" borderId="0" xfId="0" applyFont="1" applyBorder="1" applyAlignment="1">
      <alignment horizontal="center" vertical="center"/>
    </xf>
    <xf numFmtId="0" fontId="9" fillId="0" borderId="0" xfId="0" applyFont="1" applyBorder="1" applyAlignment="1">
      <alignment horizontal="left" vertical="center"/>
    </xf>
    <xf numFmtId="0" fontId="8" fillId="0" borderId="0"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8" fillId="0" borderId="2" xfId="0" applyFont="1" applyBorder="1" applyAlignment="1">
      <alignment horizontal="center" vertical="center"/>
    </xf>
    <xf numFmtId="0" fontId="8" fillId="0" borderId="8" xfId="0" applyFont="1" applyBorder="1" applyAlignment="1">
      <alignment horizontal="center" vertical="center"/>
    </xf>
    <xf numFmtId="165" fontId="16" fillId="0" borderId="0" xfId="0" applyNumberFormat="1" applyFont="1" applyAlignment="1">
      <alignment horizontal="center" vertical="center"/>
    </xf>
    <xf numFmtId="0" fontId="8" fillId="0" borderId="6" xfId="0" applyFont="1" applyBorder="1" applyAlignment="1">
      <alignment horizontal="center" vertical="center"/>
    </xf>
    <xf numFmtId="0" fontId="8" fillId="0" borderId="13" xfId="0" applyFont="1" applyBorder="1" applyAlignment="1">
      <alignment horizontal="center" vertical="center"/>
    </xf>
    <xf numFmtId="0" fontId="8" fillId="0" borderId="11" xfId="0" applyFont="1" applyBorder="1" applyAlignment="1">
      <alignment horizontal="center" vertical="center"/>
    </xf>
    <xf numFmtId="0" fontId="8" fillId="0" borderId="5" xfId="0" applyFont="1" applyBorder="1" applyAlignment="1">
      <alignment horizontal="left" vertical="center"/>
    </xf>
    <xf numFmtId="0" fontId="8" fillId="0" borderId="7" xfId="0" applyFont="1" applyBorder="1" applyAlignment="1">
      <alignment horizontal="left" vertical="center"/>
    </xf>
    <xf numFmtId="0" fontId="8" fillId="0" borderId="6" xfId="0" applyFont="1" applyBorder="1" applyAlignment="1">
      <alignment horizontal="left" vertical="center"/>
    </xf>
    <xf numFmtId="0" fontId="21" fillId="0" borderId="0" xfId="0" applyFont="1" applyBorder="1" applyAlignment="1">
      <alignment horizontal="left" vertical="center"/>
    </xf>
    <xf numFmtId="0" fontId="15" fillId="0" borderId="0" xfId="0" applyFont="1" applyFill="1" applyBorder="1" applyAlignment="1">
      <alignment horizontal="left"/>
    </xf>
    <xf numFmtId="0" fontId="10" fillId="0" borderId="0" xfId="0" applyFont="1" applyBorder="1"/>
    <xf numFmtId="0" fontId="10" fillId="0" borderId="0" xfId="0" applyFont="1" applyBorder="1" applyAlignment="1">
      <alignment horizontal="left" vertical="center"/>
    </xf>
    <xf numFmtId="0" fontId="10" fillId="0" borderId="0" xfId="0" applyFont="1" applyAlignment="1">
      <alignment vertical="center"/>
    </xf>
    <xf numFmtId="0" fontId="10" fillId="0" borderId="0" xfId="0" applyFont="1" applyBorder="1" applyAlignment="1">
      <alignment vertical="top"/>
    </xf>
    <xf numFmtId="0" fontId="46" fillId="0" borderId="0" xfId="0" applyFont="1" applyBorder="1" applyAlignment="1">
      <alignment horizontal="left" vertical="top"/>
    </xf>
    <xf numFmtId="0" fontId="8" fillId="0" borderId="8" xfId="0" applyFont="1" applyBorder="1" applyAlignment="1">
      <alignment horizontal="center" vertical="center"/>
    </xf>
    <xf numFmtId="0" fontId="8" fillId="0" borderId="2" xfId="0" applyFont="1" applyBorder="1" applyAlignment="1">
      <alignment horizontal="center" vertical="center"/>
    </xf>
    <xf numFmtId="0" fontId="8" fillId="0" borderId="11" xfId="0" applyFont="1" applyBorder="1" applyAlignment="1">
      <alignment horizontal="center" vertical="center"/>
    </xf>
    <xf numFmtId="0" fontId="8" fillId="0" borderId="13" xfId="0" applyFont="1" applyBorder="1" applyAlignment="1">
      <alignment horizontal="center" vertical="center"/>
    </xf>
    <xf numFmtId="0" fontId="8" fillId="0" borderId="2" xfId="0" applyFont="1" applyBorder="1" applyAlignment="1">
      <alignment horizontal="left" vertical="center"/>
    </xf>
    <xf numFmtId="0" fontId="8" fillId="0" borderId="7"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0" xfId="0" applyFont="1" applyBorder="1" applyAlignment="1">
      <alignment horizontal="center" vertical="center"/>
    </xf>
    <xf numFmtId="165" fontId="16" fillId="0" borderId="0" xfId="0" applyNumberFormat="1" applyFont="1" applyAlignment="1">
      <alignment horizontal="center" vertical="center"/>
    </xf>
    <xf numFmtId="0" fontId="8" fillId="0" borderId="7" xfId="0" applyFont="1" applyBorder="1" applyAlignment="1">
      <alignment horizontal="left" vertical="center"/>
    </xf>
    <xf numFmtId="183" fontId="8" fillId="0" borderId="0" xfId="0" applyNumberFormat="1" applyFont="1" applyBorder="1" applyAlignment="1">
      <alignment vertical="center"/>
    </xf>
    <xf numFmtId="0" fontId="25" fillId="0" borderId="9" xfId="0" applyFont="1" applyBorder="1" applyAlignment="1">
      <alignment vertical="center"/>
    </xf>
    <xf numFmtId="0" fontId="25" fillId="0" borderId="0" xfId="0" applyFont="1" applyBorder="1" applyAlignment="1">
      <alignment vertical="center"/>
    </xf>
    <xf numFmtId="0" fontId="8" fillId="0" borderId="8" xfId="0" applyFont="1" applyBorder="1" applyAlignment="1">
      <alignment horizontal="center" vertical="center"/>
    </xf>
    <xf numFmtId="0" fontId="8" fillId="0" borderId="2" xfId="0" applyFont="1" applyBorder="1" applyAlignment="1">
      <alignment horizontal="center" vertical="center"/>
    </xf>
    <xf numFmtId="0" fontId="8" fillId="0" borderId="11" xfId="0" applyFont="1" applyBorder="1" applyAlignment="1">
      <alignment horizontal="center" vertical="center"/>
    </xf>
    <xf numFmtId="0" fontId="8" fillId="0" borderId="13" xfId="0" applyFont="1" applyBorder="1" applyAlignment="1">
      <alignment horizontal="center" vertical="center"/>
    </xf>
    <xf numFmtId="0" fontId="8" fillId="0" borderId="0" xfId="0" applyFont="1" applyBorder="1" applyAlignment="1">
      <alignment horizontal="center" vertical="center"/>
    </xf>
    <xf numFmtId="0" fontId="8" fillId="0" borderId="0" xfId="0" applyFont="1" applyAlignment="1">
      <alignment horizontal="center" vertical="center"/>
    </xf>
    <xf numFmtId="2" fontId="8" fillId="0" borderId="0" xfId="0" applyNumberFormat="1" applyFont="1" applyBorder="1" applyAlignment="1">
      <alignment horizontal="left"/>
    </xf>
    <xf numFmtId="0" fontId="8" fillId="0" borderId="0" xfId="0" applyFont="1" applyBorder="1" applyAlignment="1">
      <alignment horizontal="center"/>
    </xf>
    <xf numFmtId="2" fontId="8" fillId="0" borderId="0" xfId="0" applyNumberFormat="1" applyFont="1" applyBorder="1" applyAlignment="1">
      <alignment horizontal="center"/>
    </xf>
    <xf numFmtId="0" fontId="8" fillId="0" borderId="0" xfId="0" applyFont="1" applyFill="1" applyBorder="1" applyAlignment="1">
      <alignment horizontal="center"/>
    </xf>
    <xf numFmtId="0" fontId="8" fillId="0" borderId="0" xfId="0" applyFont="1" applyBorder="1"/>
    <xf numFmtId="0" fontId="8" fillId="0" borderId="9" xfId="0" applyFont="1" applyBorder="1" applyAlignment="1">
      <alignment horizontal="left" vertical="center"/>
    </xf>
    <xf numFmtId="0" fontId="46" fillId="0" borderId="0" xfId="0" applyFont="1" applyBorder="1"/>
    <xf numFmtId="2" fontId="46" fillId="0" borderId="0" xfId="0" applyNumberFormat="1" applyFont="1" applyBorder="1" applyAlignment="1"/>
    <xf numFmtId="2" fontId="8" fillId="0" borderId="2" xfId="0" applyNumberFormat="1" applyFont="1" applyBorder="1" applyAlignment="1">
      <alignment vertical="center"/>
    </xf>
    <xf numFmtId="0" fontId="9" fillId="0" borderId="0" xfId="0" applyFont="1" applyFill="1" applyBorder="1" applyAlignment="1">
      <alignment vertical="center"/>
    </xf>
    <xf numFmtId="165" fontId="0" fillId="0" borderId="0" xfId="0" applyNumberFormat="1" applyFill="1" applyBorder="1" applyAlignment="1">
      <alignment vertical="center"/>
    </xf>
    <xf numFmtId="0" fontId="9" fillId="0" borderId="9" xfId="0" applyFont="1" applyFill="1" applyBorder="1" applyAlignment="1">
      <alignment vertical="center"/>
    </xf>
    <xf numFmtId="165" fontId="0" fillId="0" borderId="9" xfId="0" applyNumberFormat="1" applyFill="1" applyBorder="1" applyAlignment="1">
      <alignment vertical="center"/>
    </xf>
    <xf numFmtId="0" fontId="46" fillId="0" borderId="0" xfId="0" applyFont="1" applyBorder="1" applyAlignment="1">
      <alignment vertical="top"/>
    </xf>
    <xf numFmtId="0" fontId="0" fillId="0" borderId="0" xfId="0" applyBorder="1" applyAlignment="1">
      <alignment horizontal="center"/>
    </xf>
    <xf numFmtId="0" fontId="0" fillId="0" borderId="0" xfId="0" quotePrefix="1" applyBorder="1"/>
    <xf numFmtId="0" fontId="60" fillId="0" borderId="0" xfId="0" applyFont="1" applyAlignment="1">
      <alignment horizontal="left"/>
    </xf>
    <xf numFmtId="165" fontId="15" fillId="0" borderId="0" xfId="0" applyNumberFormat="1" applyFont="1" applyBorder="1" applyAlignment="1"/>
    <xf numFmtId="2" fontId="54" fillId="0" borderId="0" xfId="0" applyNumberFormat="1" applyFont="1" applyBorder="1" applyAlignment="1"/>
    <xf numFmtId="0" fontId="54" fillId="0" borderId="0" xfId="0" applyFont="1" applyBorder="1" applyAlignment="1"/>
    <xf numFmtId="165" fontId="8" fillId="0" borderId="0" xfId="0" applyNumberFormat="1" applyFont="1" applyBorder="1" applyAlignment="1">
      <alignment vertical="center"/>
    </xf>
    <xf numFmtId="2" fontId="8" fillId="0" borderId="0" xfId="0" applyNumberFormat="1" applyFont="1" applyBorder="1" applyAlignment="1">
      <alignment horizontal="left" vertical="center"/>
    </xf>
    <xf numFmtId="2" fontId="8" fillId="0" borderId="4" xfId="0" applyNumberFormat="1" applyFont="1" applyBorder="1" applyAlignment="1">
      <alignment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8" fillId="0" borderId="2" xfId="0" applyFont="1" applyBorder="1" applyAlignment="1">
      <alignment horizontal="left" vertical="center"/>
    </xf>
    <xf numFmtId="0" fontId="8" fillId="0" borderId="0" xfId="0" applyFont="1" applyBorder="1" applyAlignment="1">
      <alignment horizontal="center" vertical="center"/>
    </xf>
    <xf numFmtId="2" fontId="8" fillId="0" borderId="0" xfId="0" applyNumberFormat="1" applyFont="1" applyAlignment="1">
      <alignment horizontal="center" vertical="center"/>
    </xf>
    <xf numFmtId="0" fontId="8" fillId="0" borderId="0" xfId="0" applyFont="1" applyBorder="1" applyAlignment="1">
      <alignment horizontal="left" vertical="center"/>
    </xf>
    <xf numFmtId="0" fontId="8" fillId="0" borderId="5" xfId="0" applyFont="1" applyBorder="1" applyAlignment="1">
      <alignment horizontal="center" vertical="center"/>
    </xf>
    <xf numFmtId="0" fontId="8" fillId="0" borderId="0"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8" fillId="0" borderId="6" xfId="0" applyFont="1" applyBorder="1" applyAlignment="1">
      <alignment horizontal="center" vertical="center"/>
    </xf>
    <xf numFmtId="0" fontId="8" fillId="0" borderId="5" xfId="0" applyFont="1" applyBorder="1" applyAlignment="1">
      <alignment horizontal="center" vertical="center"/>
    </xf>
    <xf numFmtId="0" fontId="59" fillId="0" borderId="0" xfId="0" applyFont="1" applyBorder="1" applyAlignment="1">
      <alignment horizontal="left" vertical="center"/>
    </xf>
    <xf numFmtId="0" fontId="8" fillId="0" borderId="0" xfId="0" applyFont="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11" xfId="0" applyFont="1" applyBorder="1" applyAlignment="1">
      <alignment horizontal="center" vertical="center"/>
    </xf>
    <xf numFmtId="0" fontId="8" fillId="0" borderId="2" xfId="0" applyFont="1" applyBorder="1" applyAlignment="1">
      <alignment horizontal="center" vertical="center"/>
    </xf>
    <xf numFmtId="0" fontId="8" fillId="0" borderId="13" xfId="0" applyFont="1" applyBorder="1" applyAlignment="1">
      <alignment horizontal="center" vertical="center"/>
    </xf>
    <xf numFmtId="0" fontId="25" fillId="0" borderId="2"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left" vertical="center"/>
    </xf>
    <xf numFmtId="0" fontId="8" fillId="0" borderId="6" xfId="0" applyFont="1" applyBorder="1" applyAlignment="1">
      <alignment horizontal="center" vertical="center"/>
    </xf>
    <xf numFmtId="0" fontId="0" fillId="0" borderId="0" xfId="0" applyBorder="1" applyAlignment="1">
      <alignment horizontal="center"/>
    </xf>
    <xf numFmtId="0" fontId="8" fillId="0" borderId="8" xfId="0" applyFont="1" applyBorder="1" applyAlignment="1">
      <alignment horizontal="center"/>
    </xf>
    <xf numFmtId="0" fontId="33" fillId="0" borderId="0" xfId="0" applyFont="1" applyBorder="1" applyAlignment="1">
      <alignment horizontal="center" vertical="center"/>
    </xf>
    <xf numFmtId="1" fontId="8" fillId="0" borderId="0" xfId="0" applyNumberFormat="1" applyFont="1" applyBorder="1" applyAlignment="1">
      <alignment horizontal="center" vertical="center"/>
    </xf>
    <xf numFmtId="0" fontId="25" fillId="0" borderId="0" xfId="0" applyFont="1" applyBorder="1" applyAlignment="1">
      <alignment horizontal="center" vertical="center"/>
    </xf>
    <xf numFmtId="174" fontId="25" fillId="0" borderId="0" xfId="0" applyNumberFormat="1" applyFont="1" applyBorder="1" applyAlignment="1">
      <alignment horizontal="center" vertical="center"/>
    </xf>
    <xf numFmtId="0" fontId="15" fillId="0" borderId="0" xfId="0" applyFont="1" applyFill="1" applyBorder="1" applyAlignment="1">
      <alignment horizontal="center" vertical="center"/>
    </xf>
    <xf numFmtId="2" fontId="15" fillId="0" borderId="0" xfId="0" applyNumberFormat="1" applyFont="1" applyBorder="1" applyAlignment="1">
      <alignment horizontal="center" vertical="center"/>
    </xf>
    <xf numFmtId="0" fontId="8" fillId="0" borderId="7" xfId="0" applyFont="1" applyBorder="1" applyAlignment="1">
      <alignment horizontal="left" vertical="top"/>
    </xf>
    <xf numFmtId="174" fontId="15" fillId="0" borderId="0" xfId="0" applyNumberFormat="1" applyFont="1" applyBorder="1" applyAlignment="1">
      <alignment horizontal="left" vertical="center"/>
    </xf>
    <xf numFmtId="174" fontId="15" fillId="0" borderId="0" xfId="0" applyNumberFormat="1" applyFont="1" applyBorder="1" applyAlignment="1">
      <alignment horizontal="center" vertical="center"/>
    </xf>
    <xf numFmtId="1" fontId="15" fillId="0" borderId="0" xfId="0" applyNumberFormat="1" applyFont="1" applyBorder="1" applyAlignment="1">
      <alignment vertical="center"/>
    </xf>
    <xf numFmtId="2" fontId="15" fillId="0" borderId="0" xfId="0" applyNumberFormat="1" applyFont="1" applyBorder="1" applyAlignment="1">
      <alignment vertical="center"/>
    </xf>
    <xf numFmtId="2" fontId="54" fillId="0" borderId="0" xfId="0" applyNumberFormat="1" applyFont="1" applyFill="1" applyBorder="1" applyAlignment="1"/>
    <xf numFmtId="0" fontId="11" fillId="0" borderId="0" xfId="0" applyFont="1" applyAlignment="1">
      <alignment horizontal="center" vertical="center"/>
    </xf>
    <xf numFmtId="0" fontId="11" fillId="0" borderId="0" xfId="0" applyFont="1" applyAlignment="1">
      <alignment horizontal="left" vertical="center"/>
    </xf>
    <xf numFmtId="0" fontId="63" fillId="0" borderId="0" xfId="0" applyFont="1" applyBorder="1" applyAlignment="1">
      <alignment horizontal="left" vertical="top"/>
    </xf>
    <xf numFmtId="0" fontId="11" fillId="0" borderId="0" xfId="0" applyFont="1" applyAlignment="1">
      <alignment horizontal="left" vertical="top"/>
    </xf>
    <xf numFmtId="0" fontId="8" fillId="0" borderId="0" xfId="0" applyFont="1" applyAlignment="1">
      <alignment horizontal="center" vertical="center"/>
    </xf>
    <xf numFmtId="0" fontId="8" fillId="0" borderId="0" xfId="0" applyFont="1" applyBorder="1" applyAlignment="1">
      <alignment horizontal="center" vertical="center"/>
    </xf>
    <xf numFmtId="0" fontId="16" fillId="0" borderId="0" xfId="0" applyFont="1" applyFill="1" applyBorder="1" applyAlignment="1">
      <alignment horizontal="center" vertical="center"/>
    </xf>
    <xf numFmtId="168" fontId="16" fillId="0" borderId="0" xfId="0" applyNumberFormat="1" applyFont="1" applyBorder="1" applyAlignment="1">
      <alignment horizontal="left"/>
    </xf>
    <xf numFmtId="0" fontId="28" fillId="0" borderId="0" xfId="0" applyFont="1" applyBorder="1" applyAlignment="1">
      <alignment vertical="center"/>
    </xf>
    <xf numFmtId="0" fontId="8" fillId="0" borderId="0" xfId="0" applyFont="1" applyAlignment="1">
      <alignment horizontal="center" vertical="center"/>
    </xf>
    <xf numFmtId="0" fontId="28" fillId="0" borderId="0" xfId="0" applyFont="1" applyAlignment="1">
      <alignment horizontal="center" vertical="center"/>
    </xf>
    <xf numFmtId="0" fontId="8" fillId="0" borderId="8"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5" xfId="0" applyFont="1" applyBorder="1" applyAlignment="1">
      <alignment horizontal="center" vertical="center"/>
    </xf>
    <xf numFmtId="0" fontId="8" fillId="0" borderId="0" xfId="0" applyFont="1" applyBorder="1" applyAlignment="1">
      <alignment horizontal="center" vertical="center"/>
    </xf>
    <xf numFmtId="1" fontId="8" fillId="0" borderId="0" xfId="0" applyNumberFormat="1" applyFont="1" applyBorder="1" applyAlignment="1">
      <alignment horizontal="center" vertical="center"/>
    </xf>
    <xf numFmtId="0" fontId="8" fillId="0" borderId="0" xfId="0" applyFont="1" applyAlignment="1">
      <alignment horizontal="center" vertical="center"/>
    </xf>
    <xf numFmtId="0" fontId="33" fillId="0" borderId="0" xfId="0" applyFont="1" applyBorder="1" applyAlignment="1">
      <alignment horizontal="center" vertical="center"/>
    </xf>
    <xf numFmtId="0" fontId="25" fillId="0" borderId="0" xfId="0" applyFont="1" applyBorder="1" applyAlignment="1">
      <alignment horizontal="center" vertical="center"/>
    </xf>
    <xf numFmtId="174" fontId="25" fillId="0" borderId="0" xfId="0" applyNumberFormat="1" applyFont="1" applyBorder="1" applyAlignment="1">
      <alignment horizontal="center" vertical="center"/>
    </xf>
    <xf numFmtId="175" fontId="8" fillId="0" borderId="0" xfId="0" applyNumberFormat="1" applyFont="1" applyAlignment="1">
      <alignment horizontal="left"/>
    </xf>
    <xf numFmtId="0" fontId="8" fillId="0" borderId="0" xfId="0" applyFont="1" applyAlignment="1">
      <alignment horizontal="right"/>
    </xf>
    <xf numFmtId="0" fontId="8" fillId="0" borderId="0" xfId="0" applyFont="1" applyAlignment="1">
      <alignment horizontal="left" wrapText="1"/>
    </xf>
    <xf numFmtId="178" fontId="8" fillId="0" borderId="0" xfId="0" applyNumberFormat="1" applyFont="1" applyAlignment="1">
      <alignment horizontal="left"/>
    </xf>
    <xf numFmtId="0" fontId="60" fillId="0" borderId="0" xfId="0" quotePrefix="1" applyFont="1" applyBorder="1"/>
    <xf numFmtId="2" fontId="11" fillId="0" borderId="0" xfId="0" applyNumberFormat="1" applyFont="1" applyBorder="1" applyAlignment="1"/>
    <xf numFmtId="0" fontId="9" fillId="0" borderId="8" xfId="0" applyFont="1" applyBorder="1" applyAlignment="1">
      <alignment vertical="center"/>
    </xf>
    <xf numFmtId="0" fontId="9" fillId="0" borderId="0" xfId="0" applyFont="1" applyBorder="1" applyAlignment="1">
      <alignment vertical="center"/>
    </xf>
    <xf numFmtId="0" fontId="8" fillId="0" borderId="0" xfId="0" applyFont="1" applyAlignment="1">
      <alignment horizontal="center" vertical="center"/>
    </xf>
    <xf numFmtId="2" fontId="8" fillId="0" borderId="0" xfId="0" applyNumberFormat="1" applyFont="1" applyBorder="1" applyAlignment="1">
      <alignment horizontal="center" vertical="center"/>
    </xf>
    <xf numFmtId="0" fontId="8" fillId="0" borderId="0" xfId="0" applyFont="1" applyBorder="1" applyAlignment="1">
      <alignment horizontal="center" vertical="center"/>
    </xf>
    <xf numFmtId="0" fontId="33" fillId="0" borderId="0" xfId="0" applyFont="1" applyBorder="1" applyAlignment="1">
      <alignment horizontal="center" vertical="center"/>
    </xf>
    <xf numFmtId="1" fontId="8" fillId="0" borderId="0" xfId="0" applyNumberFormat="1" applyFont="1" applyBorder="1" applyAlignment="1">
      <alignment horizontal="center" vertical="center"/>
    </xf>
    <xf numFmtId="2" fontId="15" fillId="0" borderId="0" xfId="0" applyNumberFormat="1" applyFont="1" applyBorder="1" applyAlignment="1">
      <alignment horizontal="center" vertical="center"/>
    </xf>
    <xf numFmtId="0" fontId="63" fillId="0" borderId="0" xfId="0" applyFont="1" applyAlignment="1">
      <alignment horizontal="left" vertical="top"/>
    </xf>
    <xf numFmtId="0" fontId="0" fillId="0" borderId="2" xfId="0" quotePrefix="1" applyFill="1" applyBorder="1"/>
    <xf numFmtId="0" fontId="1" fillId="0" borderId="0" xfId="0" applyFont="1" applyBorder="1"/>
    <xf numFmtId="0" fontId="0" fillId="0" borderId="0" xfId="0" applyFill="1" applyBorder="1"/>
    <xf numFmtId="2" fontId="0" fillId="0" borderId="0" xfId="0" applyNumberFormat="1" applyFill="1" applyBorder="1" applyAlignment="1">
      <alignment horizontal="center"/>
    </xf>
    <xf numFmtId="0" fontId="0" fillId="0" borderId="0" xfId="0" applyFill="1" applyBorder="1" applyAlignment="1">
      <alignment horizontal="center"/>
    </xf>
    <xf numFmtId="0" fontId="2" fillId="0" borderId="0" xfId="0" applyFont="1" applyBorder="1"/>
    <xf numFmtId="0" fontId="2" fillId="0" borderId="0" xfId="0" applyFont="1" applyBorder="1" applyAlignment="1">
      <alignment horizontal="center"/>
    </xf>
    <xf numFmtId="2" fontId="2" fillId="0" borderId="0" xfId="0" applyNumberFormat="1" applyFont="1" applyBorder="1" applyAlignment="1"/>
    <xf numFmtId="2" fontId="0" fillId="0" borderId="0" xfId="0" applyNumberFormat="1" applyBorder="1" applyAlignment="1"/>
    <xf numFmtId="1" fontId="0" fillId="0" borderId="0" xfId="0" applyNumberFormat="1" applyBorder="1" applyAlignment="1">
      <alignment horizontal="left"/>
    </xf>
    <xf numFmtId="0" fontId="2" fillId="0" borderId="0" xfId="0" applyFont="1" applyFill="1" applyBorder="1"/>
    <xf numFmtId="0" fontId="2" fillId="0" borderId="0" xfId="0" applyFont="1" applyFill="1" applyBorder="1" applyAlignment="1">
      <alignment horizontal="center"/>
    </xf>
    <xf numFmtId="2" fontId="2" fillId="0" borderId="0" xfId="0" applyNumberFormat="1" applyFont="1" applyFill="1" applyBorder="1" applyAlignment="1"/>
    <xf numFmtId="2" fontId="1" fillId="0" borderId="0" xfId="0" applyNumberFormat="1" applyFont="1" applyBorder="1" applyAlignment="1"/>
    <xf numFmtId="2" fontId="0" fillId="0" borderId="0" xfId="0" applyNumberFormat="1" applyBorder="1" applyAlignment="1">
      <alignment horizontal="right"/>
    </xf>
    <xf numFmtId="0" fontId="68" fillId="0" borderId="0" xfId="0" applyFont="1" applyBorder="1"/>
    <xf numFmtId="0" fontId="8" fillId="0" borderId="0" xfId="0" applyFont="1" applyBorder="1" applyAlignment="1">
      <alignment horizontal="center" vertical="center"/>
    </xf>
    <xf numFmtId="1" fontId="8" fillId="0" borderId="0" xfId="0" applyNumberFormat="1" applyFont="1" applyBorder="1" applyAlignment="1">
      <alignment horizontal="center" vertical="center"/>
    </xf>
    <xf numFmtId="0" fontId="8" fillId="0" borderId="0" xfId="0" applyFont="1" applyAlignment="1">
      <alignment horizontal="center" vertical="center"/>
    </xf>
    <xf numFmtId="0" fontId="33" fillId="0" borderId="0" xfId="0" applyFont="1" applyBorder="1" applyAlignment="1">
      <alignment horizontal="center" vertical="center"/>
    </xf>
    <xf numFmtId="165" fontId="8" fillId="0" borderId="0" xfId="0" applyNumberFormat="1" applyFont="1" applyAlignment="1">
      <alignment horizontal="center" vertical="center"/>
    </xf>
    <xf numFmtId="0" fontId="25" fillId="0" borderId="0" xfId="0" applyFont="1" applyBorder="1" applyAlignment="1">
      <alignment horizontal="center" vertical="center"/>
    </xf>
    <xf numFmtId="2" fontId="16" fillId="0" borderId="0" xfId="0" applyNumberFormat="1" applyFont="1" applyAlignment="1">
      <alignment horizontal="center" vertical="center"/>
    </xf>
    <xf numFmtId="0" fontId="0" fillId="0" borderId="0" xfId="0" applyBorder="1" applyAlignment="1">
      <alignment horizontal="center"/>
    </xf>
    <xf numFmtId="174" fontId="25" fillId="0" borderId="0" xfId="0" applyNumberFormat="1" applyFont="1" applyBorder="1" applyAlignment="1">
      <alignment horizontal="center" vertical="center"/>
    </xf>
    <xf numFmtId="1" fontId="0" fillId="0" borderId="0" xfId="0" applyNumberFormat="1" applyBorder="1" applyAlignment="1">
      <alignment horizontal="center"/>
    </xf>
    <xf numFmtId="181" fontId="15" fillId="0" borderId="0" xfId="0" applyNumberFormat="1" applyFont="1" applyAlignment="1">
      <alignment horizontal="left"/>
    </xf>
    <xf numFmtId="0" fontId="8" fillId="0" borderId="0" xfId="0" applyFont="1" applyBorder="1" applyAlignment="1">
      <alignment horizontal="center" vertical="center"/>
    </xf>
    <xf numFmtId="0" fontId="8" fillId="0" borderId="0" xfId="0" applyFont="1" applyAlignment="1">
      <alignment horizontal="center" vertical="center"/>
    </xf>
    <xf numFmtId="168" fontId="16" fillId="0" borderId="0" xfId="0" applyNumberFormat="1" applyFont="1" applyBorder="1" applyAlignment="1">
      <alignment horizontal="left"/>
    </xf>
    <xf numFmtId="0" fontId="16" fillId="0" borderId="0" xfId="0" applyFont="1" applyFill="1" applyBorder="1" applyAlignment="1">
      <alignment horizontal="center" vertical="center"/>
    </xf>
    <xf numFmtId="0" fontId="8" fillId="0" borderId="7" xfId="0" applyFont="1" applyBorder="1" applyAlignment="1">
      <alignment horizontal="center" vertical="center"/>
    </xf>
    <xf numFmtId="0" fontId="69" fillId="0" borderId="0" xfId="0" applyFont="1" applyFill="1" applyBorder="1" applyAlignment="1">
      <alignment vertical="center"/>
    </xf>
    <xf numFmtId="0" fontId="1" fillId="0" borderId="0" xfId="1" applyFont="1" applyBorder="1"/>
    <xf numFmtId="0" fontId="1" fillId="0" borderId="0" xfId="1" applyFont="1" applyAlignment="1">
      <alignment horizontal="center" vertical="center"/>
    </xf>
    <xf numFmtId="2" fontId="69" fillId="0" borderId="0" xfId="0" applyNumberFormat="1" applyFont="1" applyFill="1" applyBorder="1" applyAlignment="1">
      <alignment vertical="center"/>
    </xf>
    <xf numFmtId="0" fontId="1" fillId="0" borderId="0" xfId="1" applyFont="1" applyAlignment="1">
      <alignment horizontal="left" vertical="top"/>
    </xf>
    <xf numFmtId="0" fontId="1" fillId="0" borderId="0" xfId="1" applyFont="1" applyAlignment="1"/>
    <xf numFmtId="164" fontId="1" fillId="0" borderId="0" xfId="1" applyNumberFormat="1" applyFont="1" applyAlignment="1"/>
    <xf numFmtId="2" fontId="8" fillId="0" borderId="7" xfId="0" applyNumberFormat="1" applyFont="1" applyBorder="1" applyAlignment="1">
      <alignment vertical="center"/>
    </xf>
    <xf numFmtId="184" fontId="11" fillId="0" borderId="7" xfId="0" applyNumberFormat="1" applyFont="1" applyBorder="1" applyAlignment="1">
      <alignment vertical="center"/>
    </xf>
    <xf numFmtId="184" fontId="11" fillId="0" borderId="6" xfId="0" applyNumberFormat="1" applyFont="1" applyBorder="1" applyAlignment="1">
      <alignment vertical="center"/>
    </xf>
    <xf numFmtId="0" fontId="8" fillId="0" borderId="0" xfId="0" applyFont="1" applyBorder="1" applyAlignment="1">
      <alignment horizontal="center" vertical="center"/>
    </xf>
    <xf numFmtId="1" fontId="8" fillId="0" borderId="0" xfId="0" applyNumberFormat="1" applyFont="1" applyBorder="1" applyAlignment="1">
      <alignment horizontal="center" vertical="center"/>
    </xf>
    <xf numFmtId="0" fontId="8" fillId="0" borderId="0" xfId="0" applyFont="1" applyAlignment="1">
      <alignment horizontal="center" vertical="center"/>
    </xf>
    <xf numFmtId="165" fontId="8" fillId="0" borderId="0" xfId="0" applyNumberFormat="1" applyFont="1" applyAlignment="1">
      <alignment horizontal="center" vertical="center"/>
    </xf>
    <xf numFmtId="0" fontId="33" fillId="0" borderId="0" xfId="0" applyFont="1" applyBorder="1" applyAlignment="1">
      <alignment horizontal="center" vertical="center"/>
    </xf>
    <xf numFmtId="2" fontId="16" fillId="0" borderId="0" xfId="0" applyNumberFormat="1" applyFont="1" applyAlignment="1">
      <alignment horizontal="center" vertical="center"/>
    </xf>
    <xf numFmtId="0" fontId="25" fillId="0" borderId="0" xfId="0" applyFont="1" applyBorder="1" applyAlignment="1">
      <alignment horizontal="center" vertical="center"/>
    </xf>
    <xf numFmtId="1" fontId="0" fillId="0" borderId="0" xfId="0" applyNumberFormat="1" applyBorder="1" applyAlignment="1">
      <alignment horizontal="center"/>
    </xf>
    <xf numFmtId="0" fontId="0" fillId="0" borderId="0" xfId="0" applyBorder="1" applyAlignment="1">
      <alignment horizontal="center"/>
    </xf>
    <xf numFmtId="174" fontId="25" fillId="0" borderId="0" xfId="0" applyNumberFormat="1" applyFont="1" applyBorder="1" applyAlignment="1">
      <alignment horizontal="center" vertical="center"/>
    </xf>
    <xf numFmtId="0" fontId="8" fillId="0" borderId="0" xfId="0" applyFont="1" applyBorder="1" applyAlignment="1">
      <alignment horizontal="center" vertical="center"/>
    </xf>
    <xf numFmtId="0" fontId="8" fillId="0" borderId="0" xfId="0" applyFont="1" applyAlignment="1">
      <alignment horizontal="center" vertical="center"/>
    </xf>
    <xf numFmtId="0" fontId="8" fillId="0" borderId="0" xfId="0" applyFont="1" applyAlignment="1">
      <alignment horizontal="center" vertical="center"/>
    </xf>
    <xf numFmtId="0" fontId="8" fillId="0" borderId="0" xfId="0" applyFont="1" applyBorder="1" applyAlignment="1">
      <alignment horizontal="center" vertical="center"/>
    </xf>
    <xf numFmtId="0" fontId="8" fillId="0" borderId="8"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Alignment="1">
      <alignment horizontal="center" vertical="center"/>
    </xf>
    <xf numFmtId="0" fontId="8" fillId="0" borderId="0" xfId="0" applyFont="1" applyBorder="1" applyAlignment="1">
      <alignment horizontal="center" vertical="center"/>
    </xf>
    <xf numFmtId="0" fontId="8" fillId="0" borderId="5" xfId="0" applyFont="1" applyBorder="1" applyAlignment="1">
      <alignment horizontal="left" vertical="center"/>
    </xf>
    <xf numFmtId="0" fontId="8" fillId="0" borderId="7" xfId="0" applyFont="1" applyBorder="1" applyAlignment="1">
      <alignment horizontal="left" vertical="center"/>
    </xf>
    <xf numFmtId="0" fontId="8" fillId="0" borderId="6" xfId="0" applyFont="1" applyBorder="1" applyAlignment="1">
      <alignment horizontal="left" vertical="center"/>
    </xf>
    <xf numFmtId="0" fontId="19" fillId="0" borderId="0" xfId="0" applyFont="1" applyBorder="1"/>
    <xf numFmtId="0" fontId="16" fillId="0" borderId="0" xfId="0" applyFont="1" applyFill="1" applyBorder="1" applyAlignment="1">
      <alignment horizontal="center" vertical="center"/>
    </xf>
    <xf numFmtId="1" fontId="8" fillId="0" borderId="0" xfId="0" applyNumberFormat="1" applyFont="1" applyBorder="1" applyAlignment="1">
      <alignment horizontal="center" vertical="center"/>
    </xf>
    <xf numFmtId="0" fontId="8" fillId="0" borderId="0" xfId="0" applyFont="1" applyAlignment="1">
      <alignment horizontal="center" vertical="center"/>
    </xf>
    <xf numFmtId="0" fontId="8" fillId="0" borderId="0" xfId="0" applyFont="1" applyBorder="1" applyAlignment="1">
      <alignment horizontal="center" vertical="center"/>
    </xf>
    <xf numFmtId="0" fontId="25" fillId="0" borderId="0" xfId="0" applyFont="1" applyBorder="1" applyAlignment="1">
      <alignment horizontal="center" vertical="center"/>
    </xf>
    <xf numFmtId="174" fontId="25" fillId="0" borderId="0" xfId="0" applyNumberFormat="1" applyFont="1" applyBorder="1" applyAlignment="1">
      <alignment horizontal="center" vertical="center"/>
    </xf>
    <xf numFmtId="0" fontId="33" fillId="0" borderId="0" xfId="0" applyFont="1" applyBorder="1" applyAlignment="1">
      <alignment horizontal="center" vertical="center"/>
    </xf>
    <xf numFmtId="2" fontId="15" fillId="0" borderId="0" xfId="0" applyNumberFormat="1" applyFont="1" applyBorder="1" applyAlignment="1">
      <alignment horizontal="center" vertical="center"/>
    </xf>
    <xf numFmtId="0" fontId="16" fillId="0" borderId="0" xfId="0" applyFont="1" applyFill="1" applyBorder="1" applyAlignment="1">
      <alignment horizontal="left" vertical="center"/>
    </xf>
    <xf numFmtId="0" fontId="25" fillId="0" borderId="0" xfId="0" applyFont="1" applyFill="1" applyBorder="1" applyAlignment="1">
      <alignment horizontal="center" vertical="center"/>
    </xf>
    <xf numFmtId="0" fontId="16" fillId="0" borderId="0" xfId="0" applyFont="1" applyFill="1" applyBorder="1" applyAlignment="1">
      <alignment vertical="center"/>
    </xf>
    <xf numFmtId="0" fontId="10" fillId="0" borderId="0" xfId="0" applyFont="1" applyFill="1" applyBorder="1" applyAlignment="1">
      <alignment vertical="center"/>
    </xf>
    <xf numFmtId="0" fontId="46" fillId="0" borderId="0" xfId="0" applyFont="1" applyFill="1" applyBorder="1"/>
    <xf numFmtId="0" fontId="8" fillId="0" borderId="0" xfId="0" applyFont="1" applyFill="1" applyAlignment="1">
      <alignment horizontal="center" vertical="center"/>
    </xf>
    <xf numFmtId="0" fontId="73" fillId="0" borderId="0" xfId="0" applyFont="1" applyFill="1" applyAlignment="1">
      <alignment horizontal="left" vertical="center"/>
    </xf>
    <xf numFmtId="0" fontId="73" fillId="0" borderId="0" xfId="0" applyFont="1" applyFill="1" applyBorder="1" applyAlignment="1">
      <alignment vertical="center"/>
    </xf>
    <xf numFmtId="0" fontId="73" fillId="0" borderId="0" xfId="0" applyFont="1" applyFill="1" applyBorder="1" applyAlignment="1">
      <alignment horizontal="center" vertical="center"/>
    </xf>
    <xf numFmtId="0" fontId="73" fillId="0" borderId="0" xfId="0" applyFont="1" applyAlignment="1">
      <alignment horizontal="center" vertical="center"/>
    </xf>
    <xf numFmtId="0" fontId="74" fillId="0" borderId="0" xfId="0" applyFont="1" applyBorder="1" applyAlignment="1">
      <alignment horizontal="center" vertical="center"/>
    </xf>
    <xf numFmtId="0" fontId="74" fillId="0" borderId="2" xfId="0" applyFont="1" applyBorder="1" applyAlignment="1">
      <alignment horizontal="center" vertical="center"/>
    </xf>
    <xf numFmtId="0" fontId="8" fillId="0" borderId="2" xfId="0" applyFont="1" applyBorder="1" applyAlignment="1">
      <alignment horizontal="center" vertical="center"/>
    </xf>
    <xf numFmtId="0" fontId="8" fillId="0" borderId="0" xfId="0" applyFont="1" applyAlignment="1">
      <alignment horizontal="center" vertical="center"/>
    </xf>
    <xf numFmtId="0" fontId="1" fillId="0" borderId="10" xfId="1" applyFont="1" applyBorder="1" applyAlignment="1" applyProtection="1">
      <alignment horizontal="center" vertical="center" wrapText="1"/>
      <protection locked="0"/>
    </xf>
    <xf numFmtId="0" fontId="1" fillId="0" borderId="8" xfId="1" applyFont="1" applyBorder="1" applyAlignment="1" applyProtection="1">
      <alignment horizontal="center" vertical="center" wrapText="1"/>
      <protection locked="0"/>
    </xf>
    <xf numFmtId="0" fontId="1" fillId="0" borderId="11" xfId="1" applyFont="1" applyBorder="1" applyAlignment="1" applyProtection="1">
      <alignment horizontal="center" vertical="center" wrapText="1"/>
      <protection locked="0"/>
    </xf>
    <xf numFmtId="0" fontId="1" fillId="0" borderId="12" xfId="1" applyFont="1" applyBorder="1" applyAlignment="1" applyProtection="1">
      <alignment horizontal="center" vertical="center" wrapText="1"/>
      <protection locked="0"/>
    </xf>
    <xf numFmtId="0" fontId="1" fillId="0" borderId="2" xfId="1" applyFont="1" applyBorder="1" applyAlignment="1" applyProtection="1">
      <alignment horizontal="center" vertical="center" wrapText="1"/>
      <protection locked="0"/>
    </xf>
    <xf numFmtId="0" fontId="1" fillId="0" borderId="13" xfId="1" applyFont="1" applyBorder="1" applyAlignment="1" applyProtection="1">
      <alignment horizontal="center" vertical="center" wrapText="1"/>
      <protection locked="0"/>
    </xf>
    <xf numFmtId="0" fontId="1" fillId="0" borderId="10" xfId="1" applyFont="1" applyBorder="1" applyAlignment="1" applyProtection="1">
      <alignment horizontal="left" vertical="center" wrapText="1"/>
      <protection locked="0"/>
    </xf>
    <xf numFmtId="0" fontId="1" fillId="0" borderId="8" xfId="1" applyFont="1" applyBorder="1" applyAlignment="1" applyProtection="1">
      <alignment horizontal="left" vertical="center" wrapText="1"/>
      <protection locked="0"/>
    </xf>
    <xf numFmtId="0" fontId="1" fillId="0" borderId="11" xfId="1" applyFont="1" applyBorder="1" applyAlignment="1" applyProtection="1">
      <alignment horizontal="left" vertical="center" wrapText="1"/>
      <protection locked="0"/>
    </xf>
    <xf numFmtId="0" fontId="1" fillId="0" borderId="12" xfId="1" applyFont="1" applyBorder="1" applyAlignment="1" applyProtection="1">
      <alignment horizontal="left" vertical="center" wrapText="1"/>
      <protection locked="0"/>
    </xf>
    <xf numFmtId="0" fontId="1" fillId="0" borderId="2" xfId="1" applyFont="1" applyBorder="1" applyAlignment="1" applyProtection="1">
      <alignment horizontal="left" vertical="center" wrapText="1"/>
      <protection locked="0"/>
    </xf>
    <xf numFmtId="0" fontId="1" fillId="0" borderId="13" xfId="1" applyFont="1" applyBorder="1" applyAlignment="1" applyProtection="1">
      <alignment horizontal="left" vertical="center" wrapText="1"/>
      <protection locked="0"/>
    </xf>
    <xf numFmtId="0" fontId="3" fillId="0" borderId="14" xfId="1" applyFont="1" applyBorder="1" applyAlignment="1">
      <alignment horizontal="center" vertical="center"/>
    </xf>
    <xf numFmtId="0" fontId="4" fillId="0" borderId="15" xfId="1" applyFont="1" applyBorder="1" applyAlignment="1">
      <alignment horizontal="center" vertical="center"/>
    </xf>
    <xf numFmtId="0" fontId="4" fillId="0" borderId="16" xfId="1" applyFont="1" applyBorder="1" applyAlignment="1">
      <alignment horizontal="center" vertical="center"/>
    </xf>
    <xf numFmtId="0" fontId="4" fillId="0" borderId="17" xfId="1" applyFont="1" applyBorder="1" applyAlignment="1">
      <alignment horizontal="center" vertical="center"/>
    </xf>
    <xf numFmtId="0" fontId="4" fillId="0" borderId="0" xfId="1" applyFont="1" applyBorder="1" applyAlignment="1">
      <alignment horizontal="center" vertical="center"/>
    </xf>
    <xf numFmtId="0" fontId="4" fillId="0" borderId="18" xfId="1" applyFont="1" applyBorder="1" applyAlignment="1">
      <alignment horizontal="center" vertical="center"/>
    </xf>
    <xf numFmtId="0" fontId="4" fillId="0" borderId="19" xfId="1" applyFont="1" applyBorder="1" applyAlignment="1">
      <alignment horizontal="center" vertical="center"/>
    </xf>
    <xf numFmtId="0" fontId="4" fillId="0" borderId="20" xfId="1" applyFont="1" applyBorder="1" applyAlignment="1">
      <alignment horizontal="center" vertical="center"/>
    </xf>
    <xf numFmtId="0" fontId="4" fillId="0" borderId="21" xfId="1" applyFont="1" applyBorder="1" applyAlignment="1">
      <alignment horizontal="center" vertical="center"/>
    </xf>
    <xf numFmtId="0" fontId="1" fillId="0" borderId="9" xfId="1" applyFont="1" applyBorder="1" applyAlignment="1" applyProtection="1">
      <alignment horizontal="center" vertical="center" wrapText="1"/>
      <protection locked="0"/>
    </xf>
    <xf numFmtId="0" fontId="1" fillId="0" borderId="0" xfId="1" applyFont="1" applyBorder="1" applyAlignment="1" applyProtection="1">
      <alignment horizontal="center" vertical="center" wrapText="1"/>
      <protection locked="0"/>
    </xf>
    <xf numFmtId="0" fontId="1" fillId="0" borderId="4" xfId="1" applyFont="1" applyBorder="1" applyAlignment="1" applyProtection="1">
      <alignment horizontal="center" vertical="center" wrapText="1"/>
      <protection locked="0"/>
    </xf>
    <xf numFmtId="0" fontId="1" fillId="0" borderId="9" xfId="1" applyFont="1" applyBorder="1" applyAlignment="1" applyProtection="1">
      <alignment horizontal="left" vertical="center" wrapText="1"/>
      <protection locked="0"/>
    </xf>
    <xf numFmtId="0" fontId="1" fillId="0" borderId="0" xfId="1" applyFont="1" applyBorder="1" applyAlignment="1" applyProtection="1">
      <alignment horizontal="left" vertical="center" wrapText="1"/>
      <protection locked="0"/>
    </xf>
    <xf numFmtId="0" fontId="1" fillId="0" borderId="4" xfId="1" applyFont="1" applyBorder="1" applyAlignment="1" applyProtection="1">
      <alignment horizontal="left" vertical="center" wrapText="1"/>
      <protection locked="0"/>
    </xf>
    <xf numFmtId="0" fontId="5" fillId="0" borderId="10"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0" xfId="0" applyFont="1" applyBorder="1" applyAlignment="1">
      <alignment horizontal="left" vertical="center" wrapText="1"/>
    </xf>
    <xf numFmtId="0" fontId="5" fillId="0" borderId="8" xfId="0" applyFont="1" applyBorder="1" applyAlignment="1">
      <alignment horizontal="left" vertical="center" wrapText="1"/>
    </xf>
    <xf numFmtId="0" fontId="5" fillId="0" borderId="11" xfId="0" applyFont="1" applyBorder="1" applyAlignment="1">
      <alignment horizontal="left" vertical="center" wrapText="1"/>
    </xf>
    <xf numFmtId="0" fontId="5" fillId="0" borderId="12" xfId="0" applyFont="1" applyBorder="1" applyAlignment="1">
      <alignment horizontal="left" vertical="center" wrapText="1"/>
    </xf>
    <xf numFmtId="0" fontId="5" fillId="0" borderId="2" xfId="0" applyFont="1" applyBorder="1" applyAlignment="1">
      <alignment horizontal="left" vertical="center" wrapText="1"/>
    </xf>
    <xf numFmtId="0" fontId="5" fillId="0" borderId="13" xfId="0" applyFont="1" applyBorder="1" applyAlignment="1">
      <alignment horizontal="left" vertical="center" wrapText="1"/>
    </xf>
    <xf numFmtId="0" fontId="1" fillId="0" borderId="3" xfId="1" applyBorder="1" applyAlignment="1">
      <alignment horizontal="center"/>
    </xf>
    <xf numFmtId="0" fontId="1" fillId="0" borderId="10" xfId="1" applyBorder="1" applyAlignment="1">
      <alignment horizontal="center" wrapText="1"/>
    </xf>
    <xf numFmtId="0" fontId="1" fillId="0" borderId="8" xfId="1" applyBorder="1" applyAlignment="1">
      <alignment horizontal="center" wrapText="1"/>
    </xf>
    <xf numFmtId="0" fontId="1" fillId="0" borderId="11" xfId="1" applyBorder="1" applyAlignment="1">
      <alignment horizontal="center" wrapText="1"/>
    </xf>
    <xf numFmtId="0" fontId="1" fillId="0" borderId="12" xfId="1" applyBorder="1" applyAlignment="1">
      <alignment horizontal="center" wrapText="1"/>
    </xf>
    <xf numFmtId="0" fontId="1" fillId="0" borderId="2" xfId="1" applyBorder="1" applyAlignment="1">
      <alignment horizontal="center" wrapText="1"/>
    </xf>
    <xf numFmtId="0" fontId="1" fillId="0" borderId="13" xfId="1" applyBorder="1" applyAlignment="1">
      <alignment horizontal="center" wrapText="1"/>
    </xf>
    <xf numFmtId="0" fontId="1" fillId="0" borderId="3" xfId="1" applyBorder="1" applyAlignment="1">
      <alignment horizontal="center" wrapText="1"/>
    </xf>
    <xf numFmtId="0" fontId="1" fillId="0" borderId="10" xfId="1" applyBorder="1" applyAlignment="1">
      <alignment horizontal="center"/>
    </xf>
    <xf numFmtId="0" fontId="1" fillId="0" borderId="8" xfId="1" applyBorder="1" applyAlignment="1">
      <alignment horizontal="center"/>
    </xf>
    <xf numFmtId="0" fontId="1" fillId="0" borderId="11" xfId="1" applyBorder="1" applyAlignment="1">
      <alignment horizontal="center"/>
    </xf>
    <xf numFmtId="0" fontId="1" fillId="0" borderId="12" xfId="1" applyBorder="1" applyAlignment="1">
      <alignment horizontal="center"/>
    </xf>
    <xf numFmtId="0" fontId="1" fillId="0" borderId="2" xfId="1" applyBorder="1" applyAlignment="1">
      <alignment horizontal="center"/>
    </xf>
    <xf numFmtId="0" fontId="1" fillId="0" borderId="13" xfId="1" applyBorder="1" applyAlignment="1">
      <alignment horizontal="center"/>
    </xf>
    <xf numFmtId="0" fontId="1" fillId="0" borderId="6" xfId="1" applyBorder="1"/>
    <xf numFmtId="0" fontId="1" fillId="0" borderId="3" xfId="1" applyBorder="1"/>
    <xf numFmtId="0" fontId="1" fillId="0" borderId="10" xfId="1" applyBorder="1" applyAlignment="1" applyProtection="1">
      <alignment horizontal="center" vertical="center"/>
      <protection locked="0"/>
    </xf>
    <xf numFmtId="0" fontId="1" fillId="0" borderId="8" xfId="1" applyBorder="1" applyAlignment="1" applyProtection="1">
      <alignment horizontal="center" vertical="center"/>
      <protection locked="0"/>
    </xf>
    <xf numFmtId="0" fontId="1" fillId="0" borderId="11" xfId="1" applyBorder="1" applyAlignment="1" applyProtection="1">
      <alignment horizontal="center" vertical="center"/>
      <protection locked="0"/>
    </xf>
    <xf numFmtId="0" fontId="1" fillId="0" borderId="12" xfId="1" applyBorder="1" applyAlignment="1" applyProtection="1">
      <alignment horizontal="center" vertical="center"/>
      <protection locked="0"/>
    </xf>
    <xf numFmtId="0" fontId="1" fillId="0" borderId="2" xfId="1" applyBorder="1" applyAlignment="1" applyProtection="1">
      <alignment horizontal="center" vertical="center"/>
      <protection locked="0"/>
    </xf>
    <xf numFmtId="0" fontId="1" fillId="0" borderId="13" xfId="1" applyBorder="1" applyAlignment="1" applyProtection="1">
      <alignment horizontal="center" vertical="center"/>
      <protection locked="0"/>
    </xf>
    <xf numFmtId="0" fontId="1" fillId="0" borderId="10" xfId="1" quotePrefix="1" applyNumberFormat="1" applyBorder="1" applyAlignment="1" applyProtection="1">
      <alignment horizontal="center" vertical="center"/>
      <protection locked="0"/>
    </xf>
    <xf numFmtId="0" fontId="1" fillId="0" borderId="8" xfId="1" applyNumberFormat="1" applyBorder="1" applyAlignment="1" applyProtection="1">
      <alignment horizontal="center" vertical="center"/>
      <protection locked="0"/>
    </xf>
    <xf numFmtId="0" fontId="1" fillId="0" borderId="11" xfId="1" applyNumberFormat="1" applyBorder="1" applyAlignment="1" applyProtection="1">
      <alignment horizontal="center" vertical="center"/>
      <protection locked="0"/>
    </xf>
    <xf numFmtId="0" fontId="1" fillId="0" borderId="12" xfId="1" applyNumberFormat="1" applyBorder="1" applyAlignment="1" applyProtection="1">
      <alignment horizontal="center" vertical="center"/>
      <protection locked="0"/>
    </xf>
    <xf numFmtId="0" fontId="1" fillId="0" borderId="2" xfId="1" applyNumberFormat="1" applyBorder="1" applyAlignment="1" applyProtection="1">
      <alignment horizontal="center" vertical="center"/>
      <protection locked="0"/>
    </xf>
    <xf numFmtId="0" fontId="1" fillId="0" borderId="13" xfId="1" applyNumberFormat="1" applyBorder="1" applyAlignment="1" applyProtection="1">
      <alignment horizontal="center" vertical="center"/>
      <protection locked="0"/>
    </xf>
    <xf numFmtId="0" fontId="1" fillId="0" borderId="6" xfId="1" applyBorder="1" applyAlignment="1">
      <alignment horizontal="center"/>
    </xf>
    <xf numFmtId="166" fontId="1" fillId="0" borderId="10" xfId="1" applyNumberFormat="1" applyBorder="1" applyAlignment="1" applyProtection="1">
      <alignment horizontal="center" vertical="center"/>
      <protection locked="0"/>
    </xf>
    <xf numFmtId="166" fontId="1" fillId="0" borderId="8" xfId="1" applyNumberFormat="1" applyBorder="1" applyAlignment="1" applyProtection="1">
      <alignment horizontal="center" vertical="center"/>
      <protection locked="0"/>
    </xf>
    <xf numFmtId="166" fontId="1" fillId="0" borderId="12" xfId="1" applyNumberFormat="1" applyBorder="1" applyAlignment="1" applyProtection="1">
      <alignment horizontal="center" vertical="center"/>
      <protection locked="0"/>
    </xf>
    <xf numFmtId="166" fontId="1" fillId="0" borderId="2" xfId="1" applyNumberFormat="1" applyBorder="1" applyAlignment="1" applyProtection="1">
      <alignment horizontal="center" vertical="center"/>
      <protection locked="0"/>
    </xf>
    <xf numFmtId="0" fontId="1" fillId="0" borderId="10" xfId="1" applyBorder="1" applyAlignment="1" applyProtection="1">
      <alignment horizontal="left" vertical="center" wrapText="1"/>
      <protection locked="0"/>
    </xf>
    <xf numFmtId="0" fontId="1" fillId="0" borderId="8" xfId="1" applyBorder="1" applyAlignment="1" applyProtection="1">
      <alignment horizontal="left" vertical="center" wrapText="1"/>
      <protection locked="0"/>
    </xf>
    <xf numFmtId="0" fontId="1" fillId="0" borderId="11" xfId="1" applyBorder="1" applyAlignment="1" applyProtection="1">
      <alignment horizontal="left" vertical="center" wrapText="1"/>
      <protection locked="0"/>
    </xf>
    <xf numFmtId="0" fontId="1" fillId="0" borderId="12" xfId="1" applyBorder="1" applyAlignment="1" applyProtection="1">
      <alignment horizontal="left" vertical="center" wrapText="1"/>
      <protection locked="0"/>
    </xf>
    <xf numFmtId="0" fontId="1" fillId="0" borderId="2" xfId="1" applyBorder="1" applyAlignment="1" applyProtection="1">
      <alignment horizontal="left" vertical="center" wrapText="1"/>
      <protection locked="0"/>
    </xf>
    <xf numFmtId="0" fontId="1" fillId="0" borderId="13" xfId="1" applyBorder="1" applyAlignment="1" applyProtection="1">
      <alignment horizontal="left" vertical="center" wrapText="1"/>
      <protection locked="0"/>
    </xf>
    <xf numFmtId="0" fontId="2" fillId="0" borderId="10" xfId="1" applyFont="1" applyBorder="1" applyAlignment="1" applyProtection="1">
      <alignment horizontal="center" vertical="center"/>
      <protection locked="0"/>
    </xf>
    <xf numFmtId="0" fontId="2" fillId="0" borderId="11" xfId="1" applyFont="1" applyBorder="1" applyAlignment="1" applyProtection="1">
      <alignment horizontal="center" vertical="center"/>
      <protection locked="0"/>
    </xf>
    <xf numFmtId="0" fontId="2" fillId="0" borderId="12" xfId="1" applyFont="1" applyBorder="1" applyAlignment="1" applyProtection="1">
      <alignment horizontal="center" vertical="center"/>
      <protection locked="0"/>
    </xf>
    <xf numFmtId="0" fontId="2" fillId="0" borderId="13" xfId="1" applyFont="1" applyBorder="1" applyAlignment="1" applyProtection="1">
      <alignment horizontal="center" vertical="center"/>
      <protection locked="0"/>
    </xf>
    <xf numFmtId="0" fontId="1" fillId="0" borderId="0" xfId="1" applyBorder="1" applyAlignment="1">
      <alignment horizontal="center" vertical="center" wrapText="1"/>
    </xf>
    <xf numFmtId="0" fontId="1" fillId="0" borderId="2" xfId="1" applyBorder="1" applyAlignment="1">
      <alignment horizontal="center" vertical="center" wrapText="1"/>
    </xf>
    <xf numFmtId="0" fontId="7" fillId="0" borderId="0" xfId="0" applyFont="1" applyAlignment="1">
      <alignment horizontal="center" vertical="center"/>
    </xf>
    <xf numFmtId="0" fontId="11" fillId="0" borderId="0" xfId="0" applyFont="1" applyAlignment="1">
      <alignment horizontal="left" vertical="top" wrapText="1"/>
    </xf>
    <xf numFmtId="0" fontId="8" fillId="0" borderId="0" xfId="0" applyFont="1" applyAlignment="1">
      <alignment horizontal="left" vertical="top" wrapText="1"/>
    </xf>
    <xf numFmtId="0" fontId="10" fillId="0" borderId="3" xfId="0" applyFont="1" applyBorder="1" applyAlignment="1">
      <alignment horizontal="center" vertical="center"/>
    </xf>
    <xf numFmtId="0" fontId="11" fillId="0" borderId="3" xfId="0" applyFont="1" applyBorder="1" applyAlignment="1">
      <alignment horizontal="center" wrapText="1"/>
    </xf>
    <xf numFmtId="0" fontId="11" fillId="0" borderId="3" xfId="0" applyFont="1" applyBorder="1" applyAlignment="1">
      <alignment horizontal="center"/>
    </xf>
    <xf numFmtId="2" fontId="15" fillId="0" borderId="0" xfId="0" applyNumberFormat="1" applyFont="1" applyBorder="1" applyAlignment="1">
      <alignment horizontal="center"/>
    </xf>
    <xf numFmtId="0" fontId="60" fillId="0" borderId="0" xfId="0" quotePrefix="1" applyFont="1" applyBorder="1" applyAlignment="1">
      <alignment horizontal="center" vertical="center"/>
    </xf>
    <xf numFmtId="0" fontId="60" fillId="0" borderId="0" xfId="0" applyFont="1" applyBorder="1" applyAlignment="1">
      <alignment horizontal="center" vertical="center"/>
    </xf>
    <xf numFmtId="2" fontId="8" fillId="0" borderId="12" xfId="0" applyNumberFormat="1" applyFont="1" applyBorder="1" applyAlignment="1">
      <alignment horizontal="center"/>
    </xf>
    <xf numFmtId="2" fontId="8" fillId="0" borderId="2" xfId="0" applyNumberFormat="1" applyFont="1" applyBorder="1" applyAlignment="1">
      <alignment horizontal="center"/>
    </xf>
    <xf numFmtId="0" fontId="8" fillId="0" borderId="2" xfId="0" applyFont="1" applyBorder="1" applyAlignment="1">
      <alignment horizontal="center"/>
    </xf>
    <xf numFmtId="2" fontId="8" fillId="0" borderId="3" xfId="0" applyNumberFormat="1" applyFont="1" applyBorder="1" applyAlignment="1">
      <alignment horizontal="center" vertical="center"/>
    </xf>
    <xf numFmtId="0" fontId="8" fillId="0" borderId="3" xfId="0" applyFont="1" applyBorder="1" applyAlignment="1">
      <alignment horizontal="center" vertical="center"/>
    </xf>
    <xf numFmtId="0" fontId="9" fillId="2" borderId="3" xfId="0" applyFont="1" applyFill="1" applyBorder="1" applyAlignment="1">
      <alignment horizontal="center" vertical="center"/>
    </xf>
    <xf numFmtId="165" fontId="8" fillId="0" borderId="8" xfId="0" applyNumberFormat="1" applyFont="1" applyBorder="1" applyAlignment="1">
      <alignment horizontal="center" vertical="center"/>
    </xf>
    <xf numFmtId="0" fontId="8" fillId="0" borderId="8" xfId="0" applyFont="1" applyBorder="1" applyAlignment="1">
      <alignment horizontal="center" vertical="center"/>
    </xf>
    <xf numFmtId="0" fontId="8" fillId="0" borderId="11" xfId="0" applyFont="1" applyBorder="1" applyAlignment="1">
      <alignment horizontal="center" vertical="center"/>
    </xf>
    <xf numFmtId="0" fontId="8" fillId="0" borderId="2" xfId="0" applyFont="1" applyBorder="1" applyAlignment="1">
      <alignment horizontal="center" vertical="center"/>
    </xf>
    <xf numFmtId="0" fontId="8" fillId="0" borderId="13" xfId="0" applyFont="1" applyBorder="1" applyAlignment="1">
      <alignment horizontal="center" vertical="center"/>
    </xf>
    <xf numFmtId="165" fontId="8" fillId="0" borderId="2" xfId="0" applyNumberFormat="1" applyFont="1" applyBorder="1" applyAlignment="1">
      <alignment horizontal="center" vertical="center"/>
    </xf>
    <xf numFmtId="0" fontId="8" fillId="0" borderId="10" xfId="0" applyFont="1" applyBorder="1" applyAlignment="1">
      <alignment horizontal="left" vertical="center"/>
    </xf>
    <xf numFmtId="0" fontId="8" fillId="0" borderId="8" xfId="0" applyFont="1" applyBorder="1" applyAlignment="1">
      <alignment horizontal="left" vertical="center"/>
    </xf>
    <xf numFmtId="0" fontId="8" fillId="0" borderId="12" xfId="0" applyFont="1" applyBorder="1" applyAlignment="1">
      <alignment horizontal="left" vertical="center"/>
    </xf>
    <xf numFmtId="0" fontId="8" fillId="0" borderId="2" xfId="0" applyFont="1" applyBorder="1" applyAlignment="1">
      <alignment horizontal="left" vertical="center"/>
    </xf>
    <xf numFmtId="165" fontId="8" fillId="0" borderId="10" xfId="0" applyNumberFormat="1" applyFont="1" applyBorder="1" applyAlignment="1">
      <alignment horizontal="center" vertical="center"/>
    </xf>
    <xf numFmtId="0" fontId="26" fillId="0" borderId="8" xfId="0" applyFont="1" applyBorder="1" applyAlignment="1">
      <alignment horizontal="center" vertical="top"/>
    </xf>
    <xf numFmtId="0" fontId="26" fillId="0" borderId="2" xfId="0" applyFont="1" applyBorder="1" applyAlignment="1">
      <alignment horizontal="center" vertical="top"/>
    </xf>
    <xf numFmtId="2" fontId="16" fillId="0" borderId="0" xfId="0" applyNumberFormat="1" applyFont="1" applyAlignment="1">
      <alignment horizontal="center" vertical="center"/>
    </xf>
    <xf numFmtId="0" fontId="8" fillId="0" borderId="0" xfId="0" applyFont="1" applyAlignment="1">
      <alignment horizontal="center" vertical="center" wrapText="1"/>
    </xf>
    <xf numFmtId="0" fontId="16" fillId="0" borderId="0" xfId="0" applyFont="1" applyAlignment="1">
      <alignment horizontal="center" vertical="center" wrapText="1"/>
    </xf>
    <xf numFmtId="0" fontId="16" fillId="0" borderId="0" xfId="0" applyFont="1" applyBorder="1" applyAlignment="1">
      <alignment horizontal="center" vertical="center"/>
    </xf>
    <xf numFmtId="2" fontId="8" fillId="0" borderId="0" xfId="0" applyNumberFormat="1" applyFont="1" applyAlignment="1">
      <alignment horizontal="center" vertical="center"/>
    </xf>
    <xf numFmtId="0" fontId="8" fillId="0" borderId="10" xfId="0" applyFont="1" applyBorder="1" applyAlignment="1">
      <alignment horizontal="center"/>
    </xf>
    <xf numFmtId="0" fontId="8" fillId="0" borderId="8" xfId="0" applyFont="1" applyBorder="1" applyAlignment="1">
      <alignment horizontal="center"/>
    </xf>
    <xf numFmtId="2" fontId="8" fillId="0" borderId="7" xfId="0" applyNumberFormat="1" applyFont="1" applyBorder="1" applyAlignment="1">
      <alignment horizontal="center" vertical="center"/>
    </xf>
    <xf numFmtId="2" fontId="15" fillId="0" borderId="5" xfId="0" applyNumberFormat="1" applyFont="1" applyBorder="1" applyAlignment="1">
      <alignment horizontal="center" vertical="center"/>
    </xf>
    <xf numFmtId="2" fontId="15" fillId="0" borderId="7" xfId="0" applyNumberFormat="1" applyFont="1" applyBorder="1" applyAlignment="1">
      <alignment horizontal="center" vertical="center"/>
    </xf>
    <xf numFmtId="2" fontId="8" fillId="0" borderId="0" xfId="0" applyNumberFormat="1" applyFont="1" applyBorder="1" applyAlignment="1">
      <alignment horizontal="center" vertical="center"/>
    </xf>
    <xf numFmtId="1" fontId="8" fillId="0" borderId="0" xfId="0" applyNumberFormat="1" applyFont="1" applyBorder="1" applyAlignment="1">
      <alignment horizontal="center" vertical="center"/>
    </xf>
    <xf numFmtId="0" fontId="73" fillId="0" borderId="0" xfId="0" applyFont="1" applyFill="1" applyAlignment="1">
      <alignment horizontal="center" vertical="center"/>
    </xf>
    <xf numFmtId="0" fontId="8" fillId="0" borderId="0" xfId="0" applyFont="1" applyAlignment="1">
      <alignment horizontal="center" vertical="center"/>
    </xf>
    <xf numFmtId="2" fontId="73" fillId="0" borderId="0" xfId="0" applyNumberFormat="1" applyFont="1" applyFill="1" applyAlignment="1">
      <alignment horizontal="center" vertical="center"/>
    </xf>
    <xf numFmtId="2" fontId="54" fillId="0" borderId="0" xfId="0" applyNumberFormat="1" applyFont="1" applyFill="1" applyBorder="1" applyAlignment="1">
      <alignment horizontal="center"/>
    </xf>
    <xf numFmtId="0" fontId="33" fillId="0" borderId="0" xfId="0" applyFont="1" applyBorder="1" applyAlignment="1">
      <alignment horizontal="center" vertical="center"/>
    </xf>
    <xf numFmtId="0" fontId="33" fillId="0" borderId="4" xfId="0" applyFont="1" applyBorder="1" applyAlignment="1">
      <alignment horizontal="center" vertical="center"/>
    </xf>
    <xf numFmtId="0" fontId="33" fillId="0" borderId="2" xfId="0" applyFont="1" applyBorder="1" applyAlignment="1">
      <alignment horizontal="center" vertical="center"/>
    </xf>
    <xf numFmtId="0" fontId="33" fillId="0" borderId="13" xfId="0" applyFont="1" applyBorder="1" applyAlignment="1">
      <alignment horizontal="center" vertical="center"/>
    </xf>
    <xf numFmtId="164" fontId="8" fillId="0" borderId="5" xfId="0" applyNumberFormat="1" applyFont="1" applyBorder="1" applyAlignment="1">
      <alignment horizontal="center" vertical="center"/>
    </xf>
    <xf numFmtId="164" fontId="8" fillId="0" borderId="7" xfId="0" applyNumberFormat="1" applyFont="1" applyBorder="1" applyAlignment="1">
      <alignment horizontal="center" vertical="center"/>
    </xf>
    <xf numFmtId="0" fontId="8" fillId="0" borderId="0" xfId="0" applyFont="1" applyBorder="1" applyAlignment="1">
      <alignment horizontal="center" vertical="center"/>
    </xf>
    <xf numFmtId="0" fontId="33" fillId="0" borderId="5" xfId="0" applyFont="1" applyBorder="1" applyAlignment="1">
      <alignment horizontal="center"/>
    </xf>
    <xf numFmtId="0" fontId="33" fillId="0" borderId="7" xfId="0" applyFont="1" applyBorder="1" applyAlignment="1">
      <alignment horizontal="center"/>
    </xf>
    <xf numFmtId="0" fontId="33" fillId="0" borderId="6" xfId="0" applyFont="1" applyBorder="1" applyAlignment="1">
      <alignment horizontal="center"/>
    </xf>
    <xf numFmtId="2" fontId="8" fillId="0" borderId="2" xfId="0" applyNumberFormat="1" applyFont="1" applyBorder="1" applyAlignment="1">
      <alignment horizontal="center" vertical="center"/>
    </xf>
    <xf numFmtId="2" fontId="15" fillId="0" borderId="10" xfId="0" applyNumberFormat="1" applyFont="1" applyBorder="1" applyAlignment="1">
      <alignment horizontal="center" vertical="center"/>
    </xf>
    <xf numFmtId="2" fontId="15" fillId="0" borderId="8" xfId="0" applyNumberFormat="1" applyFont="1" applyBorder="1" applyAlignment="1">
      <alignment horizontal="center" vertical="center"/>
    </xf>
    <xf numFmtId="2" fontId="15" fillId="0" borderId="12" xfId="0" applyNumberFormat="1" applyFont="1" applyBorder="1" applyAlignment="1">
      <alignment horizontal="center" vertical="center"/>
    </xf>
    <xf numFmtId="2" fontId="15" fillId="0" borderId="2" xfId="0" applyNumberFormat="1" applyFont="1" applyBorder="1" applyAlignment="1">
      <alignment horizontal="center" vertical="center"/>
    </xf>
    <xf numFmtId="164" fontId="8" fillId="0" borderId="5" xfId="0" applyNumberFormat="1" applyFont="1" applyBorder="1" applyAlignment="1">
      <alignment horizontal="center"/>
    </xf>
    <xf numFmtId="164" fontId="8" fillId="0" borderId="7" xfId="0" applyNumberFormat="1" applyFont="1" applyBorder="1" applyAlignment="1">
      <alignment horizontal="center"/>
    </xf>
    <xf numFmtId="2" fontId="8" fillId="0" borderId="10" xfId="0" applyNumberFormat="1" applyFont="1" applyBorder="1" applyAlignment="1">
      <alignment horizontal="center" vertical="center"/>
    </xf>
    <xf numFmtId="2" fontId="8" fillId="0" borderId="8" xfId="0" applyNumberFormat="1" applyFont="1" applyBorder="1" applyAlignment="1">
      <alignment horizontal="center" vertical="center"/>
    </xf>
    <xf numFmtId="2" fontId="8" fillId="0" borderId="12" xfId="0" applyNumberFormat="1" applyFont="1" applyBorder="1" applyAlignment="1">
      <alignment horizontal="center" vertical="center"/>
    </xf>
    <xf numFmtId="2" fontId="8" fillId="0" borderId="11" xfId="0" applyNumberFormat="1" applyFont="1" applyBorder="1" applyAlignment="1">
      <alignment horizontal="center" vertical="center"/>
    </xf>
    <xf numFmtId="2" fontId="8" fillId="0" borderId="13" xfId="0" applyNumberFormat="1" applyFont="1" applyBorder="1" applyAlignment="1">
      <alignment horizontal="center" vertical="center"/>
    </xf>
    <xf numFmtId="0" fontId="8" fillId="0" borderId="7" xfId="0" applyFont="1" applyBorder="1" applyAlignment="1">
      <alignment horizontal="center"/>
    </xf>
    <xf numFmtId="0" fontId="9" fillId="2" borderId="10" xfId="0" applyFont="1" applyFill="1" applyBorder="1" applyAlignment="1">
      <alignment horizontal="center" vertical="center"/>
    </xf>
    <xf numFmtId="0" fontId="9" fillId="2" borderId="8" xfId="0" applyFont="1" applyFill="1" applyBorder="1" applyAlignment="1">
      <alignment horizontal="center" vertical="center"/>
    </xf>
    <xf numFmtId="0" fontId="9" fillId="2" borderId="11" xfId="0" applyFont="1" applyFill="1" applyBorder="1" applyAlignment="1">
      <alignment horizontal="center" vertical="center"/>
    </xf>
    <xf numFmtId="0" fontId="9" fillId="2" borderId="12"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13" xfId="0" applyFont="1" applyFill="1" applyBorder="1" applyAlignment="1">
      <alignment horizontal="center" vertical="center"/>
    </xf>
    <xf numFmtId="0" fontId="15" fillId="0" borderId="0" xfId="0" applyFont="1" applyAlignment="1">
      <alignment horizontal="center" vertical="center" wrapText="1"/>
    </xf>
    <xf numFmtId="2" fontId="11" fillId="0" borderId="0" xfId="0" applyNumberFormat="1" applyFont="1" applyFill="1" applyBorder="1" applyAlignment="1">
      <alignment horizontal="center"/>
    </xf>
    <xf numFmtId="0" fontId="8" fillId="0" borderId="7" xfId="0" applyFont="1" applyBorder="1" applyAlignment="1">
      <alignment horizontal="center" vertical="center"/>
    </xf>
    <xf numFmtId="174" fontId="25" fillId="0" borderId="2" xfId="0" applyNumberFormat="1" applyFont="1" applyBorder="1" applyAlignment="1">
      <alignment horizontal="center" vertical="center"/>
    </xf>
    <xf numFmtId="1" fontId="8" fillId="0" borderId="9" xfId="0" applyNumberFormat="1" applyFont="1" applyBorder="1" applyAlignment="1">
      <alignment horizontal="center" vertical="center"/>
    </xf>
    <xf numFmtId="1" fontId="8" fillId="0" borderId="12" xfId="0" applyNumberFormat="1" applyFont="1" applyBorder="1" applyAlignment="1">
      <alignment horizontal="center" vertical="center"/>
    </xf>
    <xf numFmtId="1" fontId="8" fillId="0" borderId="2" xfId="0" applyNumberFormat="1" applyFont="1" applyBorder="1" applyAlignment="1">
      <alignment horizontal="center" vertical="center"/>
    </xf>
    <xf numFmtId="2" fontId="8" fillId="0" borderId="0" xfId="0" applyNumberFormat="1" applyFont="1" applyFill="1" applyBorder="1" applyAlignment="1">
      <alignment horizontal="center"/>
    </xf>
    <xf numFmtId="172" fontId="8" fillId="0" borderId="8" xfId="0" applyNumberFormat="1" applyFont="1" applyBorder="1" applyAlignment="1">
      <alignment horizontal="center" vertical="center"/>
    </xf>
    <xf numFmtId="172" fontId="8" fillId="0" borderId="2" xfId="0" applyNumberFormat="1" applyFont="1" applyBorder="1" applyAlignment="1">
      <alignment horizontal="center" vertical="center"/>
    </xf>
    <xf numFmtId="165" fontId="8" fillId="0" borderId="0" xfId="0" applyNumberFormat="1" applyFont="1" applyAlignment="1">
      <alignment horizontal="center" vertical="center"/>
    </xf>
    <xf numFmtId="0" fontId="16" fillId="0" borderId="0" xfId="0" applyFont="1" applyAlignment="1">
      <alignment horizontal="left" vertical="top" wrapText="1"/>
    </xf>
    <xf numFmtId="2" fontId="8" fillId="0" borderId="5" xfId="0" applyNumberFormat="1" applyFont="1" applyBorder="1" applyAlignment="1">
      <alignment horizontal="center"/>
    </xf>
    <xf numFmtId="2" fontId="8" fillId="0" borderId="7" xfId="0" applyNumberFormat="1" applyFont="1" applyBorder="1" applyAlignment="1">
      <alignment horizontal="center"/>
    </xf>
    <xf numFmtId="0" fontId="33" fillId="0" borderId="10" xfId="0" applyFont="1" applyBorder="1" applyAlignment="1">
      <alignment horizontal="center"/>
    </xf>
    <xf numFmtId="0" fontId="33" fillId="0" borderId="8" xfId="0" applyFont="1" applyBorder="1" applyAlignment="1">
      <alignment horizontal="center"/>
    </xf>
    <xf numFmtId="0" fontId="8" fillId="0" borderId="0" xfId="0" applyFont="1" applyAlignment="1">
      <alignment horizontal="right" vertical="center" wrapText="1"/>
    </xf>
    <xf numFmtId="0" fontId="0" fillId="0" borderId="2" xfId="0" applyFill="1" applyBorder="1" applyAlignment="1">
      <alignment horizontal="center"/>
    </xf>
    <xf numFmtId="165" fontId="16" fillId="0" borderId="5" xfId="0" applyNumberFormat="1" applyFont="1" applyBorder="1" applyAlignment="1">
      <alignment horizontal="center"/>
    </xf>
    <xf numFmtId="165" fontId="16" fillId="0" borderId="7" xfId="0" applyNumberFormat="1" applyFont="1" applyBorder="1" applyAlignment="1">
      <alignment horizontal="center"/>
    </xf>
    <xf numFmtId="0" fontId="26" fillId="0" borderId="0" xfId="0" applyFont="1" applyAlignment="1">
      <alignment horizontal="center" vertical="top"/>
    </xf>
    <xf numFmtId="0" fontId="8" fillId="0" borderId="10" xfId="0" applyFont="1" applyBorder="1" applyAlignment="1">
      <alignment horizontal="left" vertical="center" wrapText="1"/>
    </xf>
    <xf numFmtId="0" fontId="8" fillId="0" borderId="8" xfId="0" applyFont="1" applyBorder="1" applyAlignment="1">
      <alignment horizontal="left" vertical="center" wrapText="1"/>
    </xf>
    <xf numFmtId="0" fontId="8" fillId="0" borderId="11" xfId="0" applyFont="1" applyBorder="1" applyAlignment="1">
      <alignment horizontal="left" vertical="center" wrapText="1"/>
    </xf>
    <xf numFmtId="0" fontId="8" fillId="0" borderId="12" xfId="0" applyFont="1" applyBorder="1" applyAlignment="1">
      <alignment horizontal="left" vertical="center" wrapText="1"/>
    </xf>
    <xf numFmtId="0" fontId="8" fillId="0" borderId="2" xfId="0" applyFont="1" applyBorder="1" applyAlignment="1">
      <alignment horizontal="left" vertical="center" wrapText="1"/>
    </xf>
    <xf numFmtId="0" fontId="8" fillId="0" borderId="13" xfId="0" applyFont="1" applyBorder="1" applyAlignment="1">
      <alignment horizontal="left" vertical="center" wrapText="1"/>
    </xf>
    <xf numFmtId="165" fontId="8" fillId="0" borderId="0" xfId="0" applyNumberFormat="1" applyFont="1" applyBorder="1" applyAlignment="1">
      <alignment horizontal="center" vertical="center"/>
    </xf>
    <xf numFmtId="0" fontId="8" fillId="0" borderId="6" xfId="0" applyFont="1" applyBorder="1" applyAlignment="1">
      <alignment horizontal="center" vertical="center"/>
    </xf>
    <xf numFmtId="165" fontId="8" fillId="0" borderId="5" xfId="0" applyNumberFormat="1" applyFont="1" applyBorder="1" applyAlignment="1">
      <alignment horizontal="center" vertical="center"/>
    </xf>
    <xf numFmtId="0" fontId="59" fillId="2" borderId="12" xfId="0" applyFont="1" applyFill="1" applyBorder="1" applyAlignment="1">
      <alignment horizontal="center" vertical="center"/>
    </xf>
    <xf numFmtId="0" fontId="59" fillId="2" borderId="2" xfId="0" applyFont="1" applyFill="1" applyBorder="1" applyAlignment="1">
      <alignment horizontal="center" vertical="center"/>
    </xf>
    <xf numFmtId="0" fontId="59" fillId="2" borderId="13" xfId="0" applyFont="1" applyFill="1" applyBorder="1" applyAlignment="1">
      <alignment horizontal="center" vertical="center"/>
    </xf>
    <xf numFmtId="0" fontId="25" fillId="0" borderId="0" xfId="0" applyFont="1" applyBorder="1" applyAlignment="1">
      <alignment horizontal="center" vertical="center"/>
    </xf>
    <xf numFmtId="0" fontId="25" fillId="0" borderId="4" xfId="0" applyFont="1" applyBorder="1" applyAlignment="1">
      <alignment horizontal="center" vertical="center"/>
    </xf>
    <xf numFmtId="0" fontId="25" fillId="0" borderId="2" xfId="0" applyFont="1" applyBorder="1" applyAlignment="1">
      <alignment horizontal="center" vertical="center"/>
    </xf>
    <xf numFmtId="0" fontId="25" fillId="0" borderId="13" xfId="0" applyFont="1" applyBorder="1" applyAlignment="1">
      <alignment horizontal="center" vertical="center"/>
    </xf>
    <xf numFmtId="0" fontId="8" fillId="0" borderId="8" xfId="0" applyFont="1" applyBorder="1" applyAlignment="1">
      <alignment horizontal="center" vertical="center" wrapText="1"/>
    </xf>
    <xf numFmtId="0" fontId="8" fillId="0" borderId="2" xfId="0" applyFont="1" applyBorder="1" applyAlignment="1">
      <alignment horizontal="center" vertical="center" wrapText="1"/>
    </xf>
    <xf numFmtId="0" fontId="25" fillId="0" borderId="8" xfId="0" applyFont="1" applyBorder="1" applyAlignment="1">
      <alignment horizontal="center" vertical="center"/>
    </xf>
    <xf numFmtId="0" fontId="25" fillId="0" borderId="11" xfId="0" applyFont="1" applyBorder="1" applyAlignment="1">
      <alignment horizontal="center"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9" fillId="0" borderId="12" xfId="0" applyFont="1" applyBorder="1" applyAlignment="1">
      <alignment horizontal="center" vertical="center"/>
    </xf>
    <xf numFmtId="0" fontId="9" fillId="0" borderId="13" xfId="0" applyFont="1" applyBorder="1" applyAlignment="1">
      <alignment horizontal="center" vertical="center"/>
    </xf>
    <xf numFmtId="0" fontId="8" fillId="0" borderId="5" xfId="0" applyFont="1" applyBorder="1" applyAlignment="1">
      <alignment horizontal="center"/>
    </xf>
    <xf numFmtId="1" fontId="8" fillId="0" borderId="10" xfId="0" applyNumberFormat="1" applyFont="1" applyBorder="1" applyAlignment="1">
      <alignment horizontal="center" vertical="center"/>
    </xf>
    <xf numFmtId="1" fontId="8" fillId="0" borderId="8" xfId="0" applyNumberFormat="1" applyFont="1" applyBorder="1" applyAlignment="1">
      <alignment horizontal="center" vertical="center"/>
    </xf>
    <xf numFmtId="1" fontId="8" fillId="0" borderId="5" xfId="0" applyNumberFormat="1" applyFont="1" applyBorder="1" applyAlignment="1">
      <alignment horizontal="center" vertical="center"/>
    </xf>
    <xf numFmtId="1" fontId="8" fillId="0" borderId="7" xfId="0" applyNumberFormat="1" applyFont="1" applyBorder="1" applyAlignment="1">
      <alignment horizontal="center" vertical="center"/>
    </xf>
    <xf numFmtId="165" fontId="8" fillId="0" borderId="5" xfId="0" applyNumberFormat="1" applyFont="1" applyBorder="1" applyAlignment="1">
      <alignment horizontal="center"/>
    </xf>
    <xf numFmtId="165" fontId="8" fillId="0" borderId="7" xfId="0" applyNumberFormat="1" applyFont="1" applyBorder="1" applyAlignment="1">
      <alignment horizontal="center"/>
    </xf>
    <xf numFmtId="0" fontId="16" fillId="0" borderId="5" xfId="0" applyFont="1" applyBorder="1" applyAlignment="1">
      <alignment horizontal="center"/>
    </xf>
    <xf numFmtId="0" fontId="16" fillId="0" borderId="7" xfId="0" applyFont="1" applyBorder="1" applyAlignment="1">
      <alignment horizontal="center"/>
    </xf>
    <xf numFmtId="1" fontId="8" fillId="0" borderId="5" xfId="0" applyNumberFormat="1" applyFont="1" applyBorder="1" applyAlignment="1">
      <alignment horizontal="center"/>
    </xf>
    <xf numFmtId="1" fontId="8" fillId="0" borderId="7" xfId="0" applyNumberFormat="1" applyFont="1" applyBorder="1" applyAlignment="1">
      <alignment horizontal="center"/>
    </xf>
    <xf numFmtId="0" fontId="9" fillId="0" borderId="5" xfId="0" applyFont="1" applyBorder="1" applyAlignment="1">
      <alignment horizontal="center" vertical="center"/>
    </xf>
    <xf numFmtId="0" fontId="9" fillId="0" borderId="6" xfId="0" applyFont="1" applyBorder="1" applyAlignment="1">
      <alignment horizontal="center" vertical="center"/>
    </xf>
    <xf numFmtId="0" fontId="9" fillId="2" borderId="3" xfId="0" applyFont="1" applyFill="1" applyBorder="1" applyAlignment="1">
      <alignment horizontal="center" vertical="center" wrapText="1"/>
    </xf>
    <xf numFmtId="2" fontId="15" fillId="0" borderId="9" xfId="0" applyNumberFormat="1" applyFont="1" applyBorder="1" applyAlignment="1">
      <alignment horizontal="center" vertical="center"/>
    </xf>
    <xf numFmtId="2" fontId="15" fillId="0" borderId="0" xfId="0" applyNumberFormat="1" applyFont="1" applyBorder="1" applyAlignment="1">
      <alignment horizontal="center" vertical="center"/>
    </xf>
    <xf numFmtId="0" fontId="66" fillId="0" borderId="0" xfId="0" applyFont="1" applyFill="1" applyBorder="1" applyAlignment="1">
      <alignment horizontal="center"/>
    </xf>
    <xf numFmtId="174" fontId="25" fillId="0" borderId="0" xfId="0" applyNumberFormat="1" applyFont="1" applyBorder="1" applyAlignment="1">
      <alignment horizontal="center" vertical="center"/>
    </xf>
    <xf numFmtId="2" fontId="8" fillId="0" borderId="0" xfId="0" applyNumberFormat="1" applyFont="1" applyBorder="1" applyAlignment="1">
      <alignment horizontal="left"/>
    </xf>
    <xf numFmtId="0" fontId="15" fillId="0" borderId="0" xfId="0" applyFont="1" applyBorder="1" applyAlignment="1">
      <alignment horizontal="center"/>
    </xf>
    <xf numFmtId="0" fontId="8" fillId="0" borderId="0" xfId="0" applyFont="1" applyFill="1" applyBorder="1" applyAlignment="1">
      <alignment horizontal="center"/>
    </xf>
    <xf numFmtId="165" fontId="8" fillId="0" borderId="0" xfId="0" applyNumberFormat="1" applyFont="1" applyBorder="1" applyAlignment="1">
      <alignment horizontal="center"/>
    </xf>
    <xf numFmtId="0" fontId="33" fillId="0" borderId="8" xfId="0" applyFont="1" applyBorder="1" applyAlignment="1">
      <alignment horizontal="center" vertical="center"/>
    </xf>
    <xf numFmtId="0" fontId="33" fillId="0" borderId="11" xfId="0" applyFont="1" applyBorder="1" applyAlignment="1">
      <alignment horizontal="center" vertical="center"/>
    </xf>
    <xf numFmtId="1" fontId="66" fillId="0" borderId="0" xfId="0" applyNumberFormat="1" applyFont="1" applyBorder="1" applyAlignment="1">
      <alignment horizontal="center"/>
    </xf>
    <xf numFmtId="1" fontId="0" fillId="0" borderId="0" xfId="0" applyNumberFormat="1" applyBorder="1" applyAlignment="1">
      <alignment horizontal="center"/>
    </xf>
    <xf numFmtId="1" fontId="66" fillId="0" borderId="0" xfId="0" applyNumberFormat="1" applyFont="1" applyFill="1" applyBorder="1" applyAlignment="1">
      <alignment horizontal="center"/>
    </xf>
    <xf numFmtId="1" fontId="0" fillId="0" borderId="0" xfId="0" applyNumberFormat="1" applyAlignment="1">
      <alignment horizontal="center"/>
    </xf>
    <xf numFmtId="0" fontId="0" fillId="0" borderId="0" xfId="0" applyFill="1" applyBorder="1" applyAlignment="1">
      <alignment horizontal="center"/>
    </xf>
    <xf numFmtId="2" fontId="65" fillId="0" borderId="2" xfId="0" applyNumberFormat="1" applyFont="1" applyBorder="1" applyAlignment="1">
      <alignment horizontal="center"/>
    </xf>
    <xf numFmtId="2" fontId="11" fillId="0" borderId="0" xfId="0" applyNumberFormat="1" applyFont="1" applyAlignment="1">
      <alignment horizontal="center" vertical="center"/>
    </xf>
    <xf numFmtId="2" fontId="25" fillId="0" borderId="0" xfId="0" applyNumberFormat="1" applyFont="1" applyBorder="1" applyAlignment="1">
      <alignment horizontal="center" vertical="center"/>
    </xf>
    <xf numFmtId="2" fontId="8" fillId="0" borderId="6" xfId="0" applyNumberFormat="1" applyFont="1" applyBorder="1" applyAlignment="1">
      <alignment horizontal="center" vertical="center"/>
    </xf>
    <xf numFmtId="2" fontId="8" fillId="0" borderId="5" xfId="0" applyNumberFormat="1" applyFont="1" applyBorder="1" applyAlignment="1">
      <alignment horizontal="center" vertical="center"/>
    </xf>
    <xf numFmtId="2" fontId="8" fillId="0" borderId="0" xfId="0" quotePrefix="1" applyNumberFormat="1" applyFont="1" applyBorder="1" applyAlignment="1">
      <alignment horizontal="center"/>
    </xf>
    <xf numFmtId="0" fontId="8" fillId="0" borderId="0" xfId="0" quotePrefix="1" applyFont="1" applyBorder="1" applyAlignment="1">
      <alignment horizontal="center"/>
    </xf>
    <xf numFmtId="2" fontId="8" fillId="0" borderId="0" xfId="0" applyNumberFormat="1" applyFont="1" applyBorder="1" applyAlignment="1">
      <alignment horizontal="center"/>
    </xf>
    <xf numFmtId="171" fontId="8" fillId="0" borderId="5" xfId="0" applyNumberFormat="1" applyFont="1" applyBorder="1" applyAlignment="1">
      <alignment horizontal="center" vertical="center"/>
    </xf>
    <xf numFmtId="171" fontId="8" fillId="0" borderId="7" xfId="0" applyNumberFormat="1" applyFont="1" applyBorder="1" applyAlignment="1">
      <alignment horizontal="center" vertical="center"/>
    </xf>
    <xf numFmtId="165" fontId="15" fillId="0" borderId="7" xfId="0" quotePrefix="1" applyNumberFormat="1" applyFont="1" applyBorder="1" applyAlignment="1">
      <alignment horizontal="center" vertical="center"/>
    </xf>
    <xf numFmtId="2" fontId="46" fillId="0" borderId="0" xfId="0" applyNumberFormat="1" applyFont="1" applyBorder="1" applyAlignment="1">
      <alignment horizontal="center" vertical="center" wrapText="1"/>
    </xf>
    <xf numFmtId="165" fontId="16" fillId="0" borderId="0" xfId="0" applyNumberFormat="1" applyFont="1" applyAlignment="1">
      <alignment horizontal="center" vertical="center"/>
    </xf>
    <xf numFmtId="0" fontId="66" fillId="0" borderId="0" xfId="0" applyFont="1" applyBorder="1" applyAlignment="1">
      <alignment horizontal="center"/>
    </xf>
    <xf numFmtId="165" fontId="8" fillId="0" borderId="7" xfId="0" applyNumberFormat="1" applyFont="1" applyBorder="1" applyAlignment="1">
      <alignment horizontal="center" vertical="center"/>
    </xf>
    <xf numFmtId="0" fontId="8" fillId="0" borderId="5" xfId="0" applyFont="1" applyBorder="1" applyAlignment="1">
      <alignment horizontal="center" vertical="center"/>
    </xf>
    <xf numFmtId="0" fontId="15" fillId="0" borderId="5" xfId="0" applyFont="1" applyFill="1" applyBorder="1" applyAlignment="1">
      <alignment horizontal="center" vertical="center"/>
    </xf>
    <xf numFmtId="0" fontId="15" fillId="0" borderId="7" xfId="0" applyFont="1" applyFill="1" applyBorder="1" applyAlignment="1">
      <alignment horizontal="center" vertical="center"/>
    </xf>
    <xf numFmtId="0" fontId="15" fillId="0" borderId="6" xfId="0" applyFont="1" applyFill="1" applyBorder="1" applyAlignment="1">
      <alignment horizontal="center" vertical="center"/>
    </xf>
    <xf numFmtId="0" fontId="8" fillId="0" borderId="3" xfId="0" applyFont="1" applyBorder="1" applyAlignment="1">
      <alignment horizontal="left" vertical="center"/>
    </xf>
    <xf numFmtId="171" fontId="8" fillId="0" borderId="10" xfId="0" applyNumberFormat="1" applyFont="1" applyBorder="1" applyAlignment="1">
      <alignment horizontal="center" vertical="center"/>
    </xf>
    <xf numFmtId="171" fontId="8" fillId="0" borderId="8" xfId="0" applyNumberFormat="1" applyFont="1" applyBorder="1" applyAlignment="1">
      <alignment horizontal="center" vertical="center"/>
    </xf>
    <xf numFmtId="171" fontId="8" fillId="0" borderId="12" xfId="0" applyNumberFormat="1" applyFont="1" applyBorder="1" applyAlignment="1">
      <alignment horizontal="center" vertical="center"/>
    </xf>
    <xf numFmtId="171" fontId="8" fillId="0" borderId="2" xfId="0" applyNumberFormat="1" applyFont="1" applyBorder="1" applyAlignment="1">
      <alignment horizontal="center" vertical="center"/>
    </xf>
    <xf numFmtId="173" fontId="8" fillId="0" borderId="8" xfId="0" applyNumberFormat="1" applyFont="1" applyBorder="1" applyAlignment="1">
      <alignment horizontal="center" vertical="center"/>
    </xf>
    <xf numFmtId="173" fontId="8" fillId="0" borderId="2" xfId="0" applyNumberFormat="1" applyFont="1" applyBorder="1" applyAlignment="1">
      <alignment horizontal="center" vertical="center"/>
    </xf>
    <xf numFmtId="0" fontId="59" fillId="2" borderId="10" xfId="0" applyFont="1" applyFill="1" applyBorder="1" applyAlignment="1">
      <alignment horizontal="center" vertical="center"/>
    </xf>
    <xf numFmtId="0" fontId="59" fillId="2" borderId="8" xfId="0" applyFont="1" applyFill="1" applyBorder="1" applyAlignment="1">
      <alignment horizontal="center" vertical="center"/>
    </xf>
    <xf numFmtId="0" fontId="59" fillId="2" borderId="11" xfId="0" applyFont="1" applyFill="1" applyBorder="1" applyAlignment="1">
      <alignment horizontal="center" vertical="center"/>
    </xf>
    <xf numFmtId="0" fontId="9" fillId="0" borderId="1" xfId="0" applyFont="1" applyBorder="1" applyAlignment="1">
      <alignment horizontal="center" vertical="center"/>
    </xf>
    <xf numFmtId="0" fontId="59" fillId="2" borderId="10" xfId="0" applyFont="1" applyFill="1" applyBorder="1" applyAlignment="1">
      <alignment vertical="center"/>
    </xf>
    <xf numFmtId="0" fontId="59" fillId="2" borderId="8" xfId="0" applyFont="1" applyFill="1" applyBorder="1" applyAlignment="1">
      <alignment vertical="center"/>
    </xf>
    <xf numFmtId="0" fontId="59" fillId="2" borderId="11" xfId="0" applyFont="1" applyFill="1" applyBorder="1" applyAlignment="1">
      <alignment vertical="center"/>
    </xf>
    <xf numFmtId="0" fontId="9" fillId="0" borderId="3" xfId="0" applyFont="1" applyBorder="1" applyAlignment="1">
      <alignment horizontal="center" vertical="center"/>
    </xf>
    <xf numFmtId="2" fontId="8" fillId="0" borderId="7" xfId="0" applyNumberFormat="1" applyFont="1" applyBorder="1" applyAlignment="1">
      <alignment horizontal="left" vertical="center"/>
    </xf>
    <xf numFmtId="170" fontId="11" fillId="0" borderId="7" xfId="0" applyNumberFormat="1" applyFont="1" applyBorder="1" applyAlignment="1">
      <alignment horizontal="center" vertical="center"/>
    </xf>
    <xf numFmtId="170" fontId="11" fillId="0" borderId="6" xfId="0" applyNumberFormat="1" applyFont="1" applyBorder="1" applyAlignment="1">
      <alignment horizontal="center" vertical="center"/>
    </xf>
    <xf numFmtId="0" fontId="8" fillId="0" borderId="1" xfId="0" applyFont="1" applyBorder="1" applyAlignment="1">
      <alignment horizontal="center" vertical="center"/>
    </xf>
    <xf numFmtId="0" fontId="8" fillId="0" borderId="0" xfId="0" applyFont="1" applyBorder="1" applyAlignment="1">
      <alignment horizontal="center"/>
    </xf>
    <xf numFmtId="0" fontId="15" fillId="0" borderId="7" xfId="0" applyFont="1" applyBorder="1" applyAlignment="1">
      <alignment horizontal="center" vertical="center"/>
    </xf>
    <xf numFmtId="2" fontId="16" fillId="0" borderId="3" xfId="0" applyNumberFormat="1" applyFont="1" applyBorder="1" applyAlignment="1">
      <alignment horizontal="center" vertical="center"/>
    </xf>
    <xf numFmtId="0" fontId="8" fillId="0" borderId="5" xfId="0" applyFont="1" applyBorder="1" applyAlignment="1">
      <alignment horizontal="center" vertical="center" wrapText="1"/>
    </xf>
    <xf numFmtId="0" fontId="8" fillId="0" borderId="7" xfId="0" applyFont="1" applyBorder="1" applyAlignment="1">
      <alignment horizontal="center" vertical="center" wrapText="1"/>
    </xf>
    <xf numFmtId="0" fontId="8" fillId="0" borderId="6" xfId="0" applyFont="1" applyBorder="1" applyAlignment="1">
      <alignment horizontal="center" vertical="center" wrapText="1"/>
    </xf>
    <xf numFmtId="167" fontId="15" fillId="0" borderId="0" xfId="0" applyNumberFormat="1" applyFont="1" applyAlignment="1">
      <alignment horizontal="left"/>
    </xf>
    <xf numFmtId="11" fontId="8" fillId="0" borderId="0" xfId="0" applyNumberFormat="1" applyFont="1" applyBorder="1" applyAlignment="1">
      <alignment horizontal="left" vertical="center"/>
    </xf>
    <xf numFmtId="2" fontId="15" fillId="0" borderId="0" xfId="0" applyNumberFormat="1" applyFont="1" applyAlignment="1">
      <alignment horizontal="left"/>
    </xf>
    <xf numFmtId="0" fontId="16" fillId="0" borderId="0" xfId="0" applyFont="1" applyAlignment="1">
      <alignment horizontal="center" vertical="center"/>
    </xf>
    <xf numFmtId="1" fontId="8" fillId="0" borderId="0" xfId="0" applyNumberFormat="1" applyFont="1" applyAlignment="1">
      <alignment horizontal="center" vertical="center"/>
    </xf>
    <xf numFmtId="0" fontId="60" fillId="0" borderId="0" xfId="0" applyFont="1" applyBorder="1" applyAlignment="1">
      <alignment horizontal="center"/>
    </xf>
    <xf numFmtId="0" fontId="60" fillId="0" borderId="0" xfId="0" quotePrefix="1" applyFont="1" applyBorder="1" applyAlignment="1">
      <alignment horizontal="center"/>
    </xf>
    <xf numFmtId="2" fontId="11" fillId="0" borderId="0" xfId="0" applyNumberFormat="1" applyFont="1" applyBorder="1" applyAlignment="1">
      <alignment horizontal="center"/>
    </xf>
    <xf numFmtId="0" fontId="59" fillId="2" borderId="10" xfId="0" applyFont="1" applyFill="1" applyBorder="1" applyAlignment="1">
      <alignment horizontal="center" vertical="center" wrapText="1"/>
    </xf>
    <xf numFmtId="0" fontId="59" fillId="2" borderId="8" xfId="0" applyFont="1" applyFill="1" applyBorder="1" applyAlignment="1">
      <alignment horizontal="center" vertical="center" wrapText="1"/>
    </xf>
    <xf numFmtId="0" fontId="59" fillId="2" borderId="11" xfId="0" applyFont="1" applyFill="1" applyBorder="1" applyAlignment="1">
      <alignment horizontal="center" vertical="center" wrapText="1"/>
    </xf>
    <xf numFmtId="0" fontId="59" fillId="2" borderId="12" xfId="0" applyFont="1" applyFill="1" applyBorder="1" applyAlignment="1">
      <alignment horizontal="center" vertical="center" wrapText="1"/>
    </xf>
    <xf numFmtId="0" fontId="59" fillId="2" borderId="2" xfId="0" applyFont="1" applyFill="1" applyBorder="1" applyAlignment="1">
      <alignment horizontal="center" vertical="center" wrapText="1"/>
    </xf>
    <xf numFmtId="0" fontId="59" fillId="2" borderId="13" xfId="0" applyFont="1" applyFill="1" applyBorder="1" applyAlignment="1">
      <alignment horizontal="center" vertical="center" wrapText="1"/>
    </xf>
    <xf numFmtId="0" fontId="9" fillId="2" borderId="5" xfId="0" applyFont="1" applyFill="1" applyBorder="1" applyAlignment="1">
      <alignment horizontal="center" vertical="center"/>
    </xf>
    <xf numFmtId="0" fontId="0" fillId="0" borderId="0" xfId="0" applyBorder="1" applyAlignment="1">
      <alignment horizontal="center"/>
    </xf>
    <xf numFmtId="0" fontId="9" fillId="2" borderId="5" xfId="0" applyFont="1" applyFill="1" applyBorder="1" applyAlignment="1">
      <alignment horizontal="center" vertical="center" wrapText="1"/>
    </xf>
    <xf numFmtId="0" fontId="20" fillId="0" borderId="0" xfId="0" applyFont="1" applyFill="1" applyBorder="1" applyAlignment="1">
      <alignment horizontal="center"/>
    </xf>
    <xf numFmtId="2" fontId="62" fillId="0" borderId="0" xfId="0" applyNumberFormat="1" applyFont="1" applyBorder="1" applyAlignment="1">
      <alignment horizontal="right" vertical="center"/>
    </xf>
    <xf numFmtId="2" fontId="54" fillId="0" borderId="0" xfId="0" applyNumberFormat="1" applyFont="1" applyBorder="1" applyAlignment="1">
      <alignment horizontal="center" vertical="top"/>
    </xf>
    <xf numFmtId="2" fontId="11" fillId="0" borderId="9" xfId="0" applyNumberFormat="1" applyFont="1" applyBorder="1" applyAlignment="1">
      <alignment horizontal="center"/>
    </xf>
    <xf numFmtId="0" fontId="27" fillId="0" borderId="0" xfId="0" applyFont="1" applyBorder="1" applyAlignment="1">
      <alignment horizontal="center"/>
    </xf>
    <xf numFmtId="2" fontId="8" fillId="0" borderId="0" xfId="0" applyNumberFormat="1" applyFont="1" applyBorder="1" applyAlignment="1">
      <alignment horizontal="center" vertical="center" wrapText="1"/>
    </xf>
    <xf numFmtId="0" fontId="64" fillId="0" borderId="0" xfId="0" applyFont="1" applyBorder="1" applyAlignment="1">
      <alignment horizontal="center" vertical="top"/>
    </xf>
    <xf numFmtId="0" fontId="64" fillId="0" borderId="0" xfId="0" quotePrefix="1" applyFont="1" applyBorder="1" applyAlignment="1">
      <alignment horizontal="left"/>
    </xf>
    <xf numFmtId="0" fontId="64" fillId="0" borderId="0" xfId="0" applyFont="1" applyBorder="1" applyAlignment="1">
      <alignment horizontal="left"/>
    </xf>
    <xf numFmtId="2" fontId="25" fillId="0" borderId="5" xfId="0" applyNumberFormat="1" applyFont="1" applyBorder="1" applyAlignment="1">
      <alignment horizontal="center" vertical="center"/>
    </xf>
    <xf numFmtId="2" fontId="25" fillId="0" borderId="7" xfId="0" applyNumberFormat="1" applyFont="1" applyBorder="1" applyAlignment="1">
      <alignment horizontal="center" vertical="center"/>
    </xf>
    <xf numFmtId="2" fontId="25" fillId="0" borderId="6" xfId="0" applyNumberFormat="1" applyFont="1" applyBorder="1" applyAlignment="1">
      <alignment horizontal="center" vertical="center"/>
    </xf>
    <xf numFmtId="2" fontId="54" fillId="0" borderId="0" xfId="0" applyNumberFormat="1" applyFont="1" applyBorder="1" applyAlignment="1">
      <alignment horizontal="center"/>
    </xf>
    <xf numFmtId="0" fontId="11" fillId="0" borderId="0" xfId="0" applyFont="1" applyBorder="1" applyAlignment="1">
      <alignment horizontal="center"/>
    </xf>
    <xf numFmtId="2" fontId="16" fillId="0" borderId="0" xfId="0" applyNumberFormat="1" applyFont="1" applyBorder="1" applyAlignment="1">
      <alignment horizontal="center"/>
    </xf>
    <xf numFmtId="1" fontId="15" fillId="0" borderId="0" xfId="0" applyNumberFormat="1" applyFont="1" applyBorder="1" applyAlignment="1">
      <alignment horizontal="left"/>
    </xf>
    <xf numFmtId="1" fontId="15" fillId="0" borderId="0" xfId="0" applyNumberFormat="1" applyFont="1" applyAlignment="1">
      <alignment horizontal="left"/>
    </xf>
    <xf numFmtId="0" fontId="15" fillId="0" borderId="0" xfId="0" applyFont="1" applyFill="1" applyBorder="1" applyAlignment="1">
      <alignment horizontal="left" readingOrder="1"/>
    </xf>
    <xf numFmtId="168" fontId="16" fillId="0" borderId="0" xfId="0" applyNumberFormat="1" applyFont="1" applyBorder="1" applyAlignment="1">
      <alignment horizontal="left"/>
    </xf>
    <xf numFmtId="169" fontId="16" fillId="0" borderId="0" xfId="0" applyNumberFormat="1" applyFont="1" applyBorder="1" applyAlignment="1">
      <alignment horizontal="left"/>
    </xf>
    <xf numFmtId="1" fontId="16" fillId="0" borderId="0" xfId="0" applyNumberFormat="1" applyFont="1" applyFill="1" applyBorder="1" applyAlignment="1">
      <alignment horizontal="center"/>
    </xf>
    <xf numFmtId="1" fontId="20" fillId="0" borderId="0" xfId="0" applyNumberFormat="1" applyFont="1" applyFill="1" applyBorder="1" applyAlignment="1">
      <alignment horizontal="center"/>
    </xf>
    <xf numFmtId="2" fontId="20" fillId="0" borderId="0" xfId="0" applyNumberFormat="1" applyFont="1" applyFill="1" applyBorder="1" applyAlignment="1">
      <alignment horizontal="center" vertical="center"/>
    </xf>
    <xf numFmtId="0" fontId="15" fillId="0" borderId="0" xfId="0" applyFont="1" applyAlignment="1">
      <alignment horizontal="left"/>
    </xf>
    <xf numFmtId="165" fontId="16" fillId="0" borderId="0" xfId="0" applyNumberFormat="1" applyFont="1" applyAlignment="1">
      <alignment horizontal="left"/>
    </xf>
    <xf numFmtId="2" fontId="8" fillId="0" borderId="0" xfId="0" applyNumberFormat="1" applyFont="1" applyAlignment="1">
      <alignment horizontal="left"/>
    </xf>
    <xf numFmtId="0" fontId="16" fillId="0" borderId="0" xfId="0" applyFont="1" applyAlignment="1">
      <alignment horizontal="left"/>
    </xf>
    <xf numFmtId="0" fontId="16" fillId="0" borderId="0" xfId="0" applyFont="1" applyFill="1" applyBorder="1" applyAlignment="1">
      <alignment horizontal="center" vertical="center"/>
    </xf>
    <xf numFmtId="2" fontId="15" fillId="0" borderId="0" xfId="0" applyNumberFormat="1" applyFont="1" applyFill="1" applyBorder="1" applyAlignment="1">
      <alignment horizontal="center" vertical="center"/>
    </xf>
    <xf numFmtId="0" fontId="65" fillId="0" borderId="0" xfId="1" applyFont="1" applyAlignment="1">
      <alignment horizontal="center"/>
    </xf>
    <xf numFmtId="2" fontId="50" fillId="0" borderId="0" xfId="1" applyNumberFormat="1" applyFont="1" applyAlignment="1">
      <alignment horizontal="center"/>
    </xf>
    <xf numFmtId="164" fontId="1" fillId="0" borderId="0" xfId="1" applyNumberFormat="1" applyFont="1" applyAlignment="1">
      <alignment horizontal="center" vertical="center"/>
    </xf>
    <xf numFmtId="2" fontId="69" fillId="0" borderId="0" xfId="0" applyNumberFormat="1" applyFont="1" applyFill="1" applyBorder="1" applyAlignment="1">
      <alignment horizontal="center" vertical="center"/>
    </xf>
    <xf numFmtId="2" fontId="15" fillId="0" borderId="6" xfId="0" applyNumberFormat="1" applyFont="1" applyBorder="1" applyAlignment="1">
      <alignment horizontal="center" vertical="center"/>
    </xf>
    <xf numFmtId="2" fontId="8" fillId="0" borderId="0" xfId="0" applyNumberFormat="1" applyFont="1" applyAlignment="1">
      <alignment horizontal="center" vertical="center" wrapText="1"/>
    </xf>
    <xf numFmtId="168" fontId="8" fillId="0" borderId="3" xfId="0" applyNumberFormat="1" applyFont="1" applyBorder="1" applyAlignment="1">
      <alignment horizontal="center"/>
    </xf>
    <xf numFmtId="0" fontId="8" fillId="0" borderId="3" xfId="0" applyFont="1" applyBorder="1" applyAlignment="1">
      <alignment horizontal="center"/>
    </xf>
    <xf numFmtId="0" fontId="19" fillId="0" borderId="0" xfId="0" applyFont="1" applyAlignment="1">
      <alignment horizontal="center"/>
    </xf>
    <xf numFmtId="2" fontId="25" fillId="0" borderId="3" xfId="0" applyNumberFormat="1" applyFont="1" applyBorder="1" applyAlignment="1">
      <alignment horizontal="center" vertical="center"/>
    </xf>
    <xf numFmtId="2" fontId="16" fillId="0" borderId="0" xfId="0" applyNumberFormat="1" applyFont="1" applyAlignment="1">
      <alignment horizontal="left"/>
    </xf>
    <xf numFmtId="0" fontId="14" fillId="0" borderId="2" xfId="0" applyFont="1" applyFill="1" applyBorder="1" applyAlignment="1">
      <alignment horizontal="left" readingOrder="1"/>
    </xf>
    <xf numFmtId="0" fontId="8" fillId="0" borderId="0" xfId="0" applyFont="1" applyAlignment="1">
      <alignment horizontal="right" vertical="top" wrapText="1" readingOrder="1"/>
    </xf>
    <xf numFmtId="0" fontId="9" fillId="0" borderId="9" xfId="0" applyFont="1" applyBorder="1" applyAlignment="1">
      <alignment horizontal="center" vertical="center"/>
    </xf>
    <xf numFmtId="0" fontId="9" fillId="0" borderId="4" xfId="0" applyFont="1" applyBorder="1" applyAlignment="1">
      <alignment horizontal="center" vertical="center"/>
    </xf>
    <xf numFmtId="0" fontId="33" fillId="0" borderId="7" xfId="0" applyFont="1" applyBorder="1" applyAlignment="1">
      <alignment horizontal="center" vertical="center"/>
    </xf>
    <xf numFmtId="0" fontId="33" fillId="0" borderId="6" xfId="0" applyFont="1" applyBorder="1" applyAlignment="1">
      <alignment horizontal="center" vertical="center"/>
    </xf>
    <xf numFmtId="0" fontId="64" fillId="0" borderId="0" xfId="0" applyFont="1" applyBorder="1" applyAlignment="1">
      <alignment horizontal="center"/>
    </xf>
    <xf numFmtId="2" fontId="11" fillId="0" borderId="0" xfId="0" applyNumberFormat="1" applyFont="1" applyBorder="1" applyAlignment="1">
      <alignment horizontal="center" vertical="center" wrapText="1"/>
    </xf>
    <xf numFmtId="2" fontId="11" fillId="0" borderId="0" xfId="0" applyNumberFormat="1" applyFont="1" applyBorder="1"/>
    <xf numFmtId="2" fontId="11" fillId="0" borderId="2" xfId="0" applyNumberFormat="1" applyFont="1" applyBorder="1"/>
    <xf numFmtId="0" fontId="14" fillId="0" borderId="8" xfId="0" applyFont="1" applyFill="1" applyBorder="1" applyAlignment="1">
      <alignment horizontal="left" readingOrder="1"/>
    </xf>
    <xf numFmtId="2" fontId="15" fillId="0" borderId="0" xfId="0" applyNumberFormat="1" applyFont="1" applyAlignment="1">
      <alignment horizontal="center" vertical="center"/>
    </xf>
    <xf numFmtId="2" fontId="73" fillId="0" borderId="0" xfId="0" applyNumberFormat="1" applyFont="1" applyBorder="1" applyAlignment="1">
      <alignment horizontal="center"/>
    </xf>
    <xf numFmtId="0" fontId="9" fillId="2" borderId="10"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9" fillId="2" borderId="12"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8" fillId="0" borderId="8" xfId="0" quotePrefix="1" applyFont="1" applyBorder="1" applyAlignment="1">
      <alignment horizontal="center"/>
    </xf>
    <xf numFmtId="0" fontId="46" fillId="0" borderId="0" xfId="0" applyFont="1" applyBorder="1" applyAlignment="1">
      <alignment horizontal="center" vertical="top" wrapText="1"/>
    </xf>
    <xf numFmtId="1" fontId="65" fillId="0" borderId="0" xfId="0" applyNumberFormat="1" applyFont="1" applyBorder="1" applyAlignment="1">
      <alignment horizontal="center"/>
    </xf>
    <xf numFmtId="0" fontId="65" fillId="0" borderId="8" xfId="0" applyFont="1" applyFill="1" applyBorder="1" applyAlignment="1">
      <alignment horizontal="center"/>
    </xf>
    <xf numFmtId="1" fontId="8" fillId="0" borderId="0" xfId="0" applyNumberFormat="1" applyFont="1" applyBorder="1" applyAlignment="1">
      <alignment horizontal="center"/>
    </xf>
    <xf numFmtId="0" fontId="15" fillId="0" borderId="3" xfId="0" applyFont="1" applyFill="1" applyBorder="1" applyAlignment="1">
      <alignment horizontal="center" vertical="center"/>
    </xf>
    <xf numFmtId="183" fontId="8" fillId="0" borderId="8" xfId="0" applyNumberFormat="1" applyFont="1" applyBorder="1" applyAlignment="1">
      <alignment horizontal="left" vertical="center"/>
    </xf>
    <xf numFmtId="183" fontId="8" fillId="0" borderId="11" xfId="0" applyNumberFormat="1" applyFont="1" applyBorder="1" applyAlignment="1">
      <alignment horizontal="left" vertical="center"/>
    </xf>
    <xf numFmtId="0" fontId="74" fillId="0" borderId="0" xfId="0" applyFont="1" applyBorder="1" applyAlignment="1">
      <alignment horizontal="center" vertical="center"/>
    </xf>
    <xf numFmtId="174" fontId="74" fillId="0" borderId="0" xfId="0" applyNumberFormat="1" applyFont="1" applyBorder="1" applyAlignment="1">
      <alignment horizontal="center" vertical="center"/>
    </xf>
    <xf numFmtId="2" fontId="15" fillId="0" borderId="5" xfId="0" applyNumberFormat="1" applyFont="1" applyBorder="1" applyAlignment="1">
      <alignment horizontal="right" vertical="center"/>
    </xf>
    <xf numFmtId="2" fontId="15" fillId="0" borderId="7" xfId="0" applyNumberFormat="1" applyFont="1" applyBorder="1" applyAlignment="1">
      <alignment horizontal="right" vertical="center"/>
    </xf>
    <xf numFmtId="0" fontId="25" fillId="0" borderId="12" xfId="0" applyFont="1" applyBorder="1" applyAlignment="1">
      <alignment horizontal="center" vertical="center"/>
    </xf>
    <xf numFmtId="0" fontId="8" fillId="0" borderId="0" xfId="0" applyFont="1" applyAlignment="1">
      <alignment horizontal="left" vertical="center" wrapText="1"/>
    </xf>
    <xf numFmtId="1" fontId="0" fillId="0" borderId="2" xfId="0" applyNumberFormat="1" applyFill="1" applyBorder="1" applyAlignment="1">
      <alignment horizontal="center"/>
    </xf>
    <xf numFmtId="0" fontId="74" fillId="0" borderId="2" xfId="0" applyFont="1" applyBorder="1" applyAlignment="1">
      <alignment horizontal="center" vertical="center"/>
    </xf>
    <xf numFmtId="174" fontId="74" fillId="0" borderId="2" xfId="0" applyNumberFormat="1" applyFont="1" applyBorder="1" applyAlignment="1">
      <alignment horizontal="center" vertical="center"/>
    </xf>
    <xf numFmtId="2" fontId="15" fillId="0" borderId="0" xfId="0" applyNumberFormat="1" applyFont="1" applyBorder="1" applyAlignment="1">
      <alignment horizontal="left"/>
    </xf>
    <xf numFmtId="165" fontId="8" fillId="0" borderId="0" xfId="0" applyNumberFormat="1" applyFont="1" applyAlignment="1">
      <alignment horizontal="left" vertical="top" readingOrder="1"/>
    </xf>
    <xf numFmtId="2" fontId="16" fillId="0" borderId="0" xfId="0" applyNumberFormat="1" applyFont="1" applyBorder="1" applyAlignment="1">
      <alignment horizontal="center" vertical="center"/>
    </xf>
    <xf numFmtId="2" fontId="11" fillId="0" borderId="0" xfId="0" quotePrefix="1" applyNumberFormat="1" applyFont="1" applyBorder="1" applyAlignment="1">
      <alignment horizontal="center"/>
    </xf>
    <xf numFmtId="2" fontId="11" fillId="0" borderId="0" xfId="0" applyNumberFormat="1" applyFont="1" applyBorder="1" applyAlignment="1">
      <alignment horizontal="left"/>
    </xf>
    <xf numFmtId="0" fontId="0" fillId="0" borderId="5" xfId="0" applyBorder="1" applyAlignment="1">
      <alignment horizontal="center"/>
    </xf>
    <xf numFmtId="0" fontId="0" fillId="0" borderId="7" xfId="0" applyBorder="1" applyAlignment="1">
      <alignment horizontal="center"/>
    </xf>
    <xf numFmtId="0" fontId="0" fillId="0" borderId="6" xfId="0" applyBorder="1" applyAlignment="1">
      <alignment horizontal="center"/>
    </xf>
    <xf numFmtId="0" fontId="5" fillId="0" borderId="3" xfId="0" applyFont="1" applyBorder="1" applyAlignment="1">
      <alignment horizontal="center" vertical="center"/>
    </xf>
    <xf numFmtId="0" fontId="50" fillId="0" borderId="3" xfId="0" applyFont="1" applyBorder="1" applyAlignment="1">
      <alignment horizontal="center" vertical="center"/>
    </xf>
    <xf numFmtId="2" fontId="5" fillId="0" borderId="3" xfId="0" applyNumberFormat="1" applyFont="1" applyBorder="1" applyAlignment="1">
      <alignment horizontal="center" vertical="center"/>
    </xf>
    <xf numFmtId="2" fontId="50" fillId="0" borderId="3" xfId="0" applyNumberFormat="1" applyFont="1" applyBorder="1" applyAlignment="1">
      <alignment horizontal="center" vertical="center"/>
    </xf>
    <xf numFmtId="165" fontId="16" fillId="0" borderId="0" xfId="0" applyNumberFormat="1" applyFont="1" applyFill="1" applyAlignment="1">
      <alignment horizontal="center"/>
    </xf>
    <xf numFmtId="181" fontId="15" fillId="0" borderId="0" xfId="0" applyNumberFormat="1" applyFont="1" applyAlignment="1">
      <alignment horizontal="left"/>
    </xf>
    <xf numFmtId="177" fontId="15" fillId="0" borderId="0" xfId="0" applyNumberFormat="1" applyFont="1" applyAlignment="1">
      <alignment horizontal="center"/>
    </xf>
    <xf numFmtId="2" fontId="8" fillId="0" borderId="0" xfId="0" applyNumberFormat="1" applyFont="1" applyAlignment="1">
      <alignment horizontal="left" vertical="center"/>
    </xf>
    <xf numFmtId="167" fontId="8" fillId="0" borderId="0" xfId="0" applyNumberFormat="1" applyFont="1" applyBorder="1" applyAlignment="1">
      <alignment horizontal="left"/>
    </xf>
    <xf numFmtId="0" fontId="0" fillId="0" borderId="0" xfId="0" applyBorder="1" applyAlignment="1">
      <alignment horizontal="center" vertical="center"/>
    </xf>
    <xf numFmtId="182" fontId="8" fillId="0" borderId="0" xfId="0" applyNumberFormat="1" applyFont="1" applyBorder="1" applyAlignment="1">
      <alignment horizontal="center" vertical="center"/>
    </xf>
    <xf numFmtId="182" fontId="0" fillId="0" borderId="0" xfId="0" applyNumberFormat="1" applyBorder="1" applyAlignment="1">
      <alignment horizontal="center" vertical="center"/>
    </xf>
    <xf numFmtId="0" fontId="16" fillId="0" borderId="0" xfId="0" applyFont="1" applyBorder="1" applyAlignment="1">
      <alignment horizontal="left" vertical="center"/>
    </xf>
    <xf numFmtId="0" fontId="43" fillId="0" borderId="0" xfId="0" applyFont="1" applyBorder="1" applyAlignment="1">
      <alignment horizontal="left" vertical="center"/>
    </xf>
    <xf numFmtId="175" fontId="8" fillId="0" borderId="0" xfId="0" applyNumberFormat="1" applyFont="1" applyAlignment="1">
      <alignment horizontal="left"/>
    </xf>
    <xf numFmtId="176" fontId="15" fillId="0" borderId="0" xfId="0" applyNumberFormat="1" applyFont="1" applyAlignment="1">
      <alignment horizontal="left" vertical="center"/>
    </xf>
    <xf numFmtId="175" fontId="8" fillId="0" borderId="0" xfId="0" applyNumberFormat="1" applyFont="1" applyBorder="1" applyAlignment="1">
      <alignment horizontal="center" vertical="center"/>
    </xf>
    <xf numFmtId="2" fontId="15" fillId="0" borderId="0" xfId="0" applyNumberFormat="1" applyFont="1" applyFill="1" applyAlignment="1">
      <alignment horizontal="center"/>
    </xf>
    <xf numFmtId="0" fontId="15" fillId="0" borderId="0" xfId="0" applyFont="1" applyFill="1" applyAlignment="1">
      <alignment horizontal="center"/>
    </xf>
    <xf numFmtId="178" fontId="8" fillId="0" borderId="0" xfId="0" applyNumberFormat="1" applyFont="1" applyAlignment="1">
      <alignment horizontal="left"/>
    </xf>
    <xf numFmtId="179" fontId="15" fillId="0" borderId="0" xfId="0" applyNumberFormat="1" applyFont="1" applyAlignment="1">
      <alignment horizontal="left"/>
    </xf>
    <xf numFmtId="0" fontId="8" fillId="0" borderId="0" xfId="0" applyFont="1" applyAlignment="1">
      <alignment horizontal="left" wrapText="1"/>
    </xf>
    <xf numFmtId="177" fontId="15" fillId="0" borderId="0" xfId="0" applyNumberFormat="1" applyFont="1" applyAlignment="1">
      <alignment horizontal="left"/>
    </xf>
    <xf numFmtId="0" fontId="8" fillId="0" borderId="0" xfId="0" applyFont="1" applyAlignment="1">
      <alignment horizontal="right"/>
    </xf>
    <xf numFmtId="175" fontId="15" fillId="0" borderId="0" xfId="0" applyNumberFormat="1" applyFont="1" applyAlignment="1">
      <alignment horizontal="left"/>
    </xf>
    <xf numFmtId="1" fontId="8" fillId="0" borderId="0" xfId="0" applyNumberFormat="1" applyFont="1" applyAlignment="1">
      <alignment horizontal="left"/>
    </xf>
    <xf numFmtId="0" fontId="8" fillId="0" borderId="3" xfId="0" applyFont="1" applyBorder="1" applyAlignment="1">
      <alignment horizontal="left" vertical="top"/>
    </xf>
    <xf numFmtId="2" fontId="8" fillId="0" borderId="3" xfId="0" applyNumberFormat="1" applyFont="1" applyFill="1" applyBorder="1" applyAlignment="1">
      <alignment horizontal="center"/>
    </xf>
    <xf numFmtId="0" fontId="8" fillId="0" borderId="6" xfId="0" applyFont="1" applyBorder="1" applyAlignment="1">
      <alignment horizontal="center"/>
    </xf>
    <xf numFmtId="0" fontId="33" fillId="0" borderId="3" xfId="0" applyFont="1" applyFill="1" applyBorder="1" applyAlignment="1">
      <alignment horizontal="center"/>
    </xf>
    <xf numFmtId="0" fontId="8" fillId="0" borderId="3" xfId="0" applyFont="1" applyBorder="1" applyAlignment="1">
      <alignment horizontal="left" vertical="top" wrapText="1"/>
    </xf>
    <xf numFmtId="11" fontId="8" fillId="0" borderId="3" xfId="0" applyNumberFormat="1" applyFont="1" applyBorder="1" applyAlignment="1">
      <alignment horizontal="center" vertical="center"/>
    </xf>
    <xf numFmtId="2" fontId="8" fillId="0" borderId="3" xfId="0" applyNumberFormat="1" applyFont="1" applyBorder="1" applyAlignment="1">
      <alignment horizontal="center"/>
    </xf>
    <xf numFmtId="1" fontId="8" fillId="0" borderId="3" xfId="0" applyNumberFormat="1" applyFont="1" applyBorder="1" applyAlignment="1">
      <alignment horizontal="center"/>
    </xf>
    <xf numFmtId="0" fontId="8" fillId="0" borderId="5" xfId="0" applyFont="1" applyBorder="1" applyAlignment="1">
      <alignment horizontal="left" vertical="top"/>
    </xf>
    <xf numFmtId="0" fontId="8" fillId="0" borderId="7" xfId="0" applyFont="1" applyBorder="1" applyAlignment="1">
      <alignment horizontal="left" vertical="top"/>
    </xf>
    <xf numFmtId="0" fontId="8" fillId="0" borderId="6" xfId="0" applyFont="1" applyBorder="1" applyAlignment="1">
      <alignment horizontal="left" vertical="top"/>
    </xf>
    <xf numFmtId="0" fontId="15" fillId="0" borderId="5" xfId="0" applyFont="1" applyBorder="1" applyAlignment="1">
      <alignment horizontal="center"/>
    </xf>
    <xf numFmtId="0" fontId="15" fillId="0" borderId="7" xfId="0" applyFont="1" applyBorder="1" applyAlignment="1">
      <alignment horizontal="center"/>
    </xf>
    <xf numFmtId="0" fontId="15" fillId="0" borderId="6" xfId="0" applyFont="1" applyBorder="1" applyAlignment="1">
      <alignment horizontal="center"/>
    </xf>
    <xf numFmtId="2" fontId="15" fillId="0" borderId="3" xfId="0" applyNumberFormat="1" applyFont="1" applyBorder="1" applyAlignment="1">
      <alignment horizontal="center" vertical="center"/>
    </xf>
    <xf numFmtId="0" fontId="8" fillId="0" borderId="5" xfId="0" applyFont="1" applyBorder="1" applyAlignment="1">
      <alignment horizontal="left" vertical="center"/>
    </xf>
    <xf numFmtId="0" fontId="8" fillId="0" borderId="7" xfId="0" applyFont="1" applyBorder="1" applyAlignment="1">
      <alignment horizontal="left" vertical="center"/>
    </xf>
    <xf numFmtId="0" fontId="8" fillId="0" borderId="6" xfId="0" applyFont="1" applyBorder="1" applyAlignment="1">
      <alignment horizontal="left" vertical="center"/>
    </xf>
    <xf numFmtId="0" fontId="16" fillId="0" borderId="5" xfId="0" applyFont="1" applyBorder="1" applyAlignment="1">
      <alignment horizontal="center" vertical="center"/>
    </xf>
    <xf numFmtId="0" fontId="16" fillId="0" borderId="7" xfId="0" applyFont="1" applyBorder="1" applyAlignment="1">
      <alignment horizontal="center" vertical="center"/>
    </xf>
    <xf numFmtId="0" fontId="16" fillId="0" borderId="6" xfId="0" applyFont="1" applyBorder="1" applyAlignment="1">
      <alignment horizontal="center" vertical="center"/>
    </xf>
    <xf numFmtId="2" fontId="15" fillId="0" borderId="5" xfId="0" applyNumberFormat="1" applyFont="1" applyBorder="1" applyAlignment="1">
      <alignment horizontal="center"/>
    </xf>
    <xf numFmtId="2" fontId="15" fillId="0" borderId="7" xfId="0" applyNumberFormat="1" applyFont="1" applyBorder="1" applyAlignment="1">
      <alignment horizontal="center"/>
    </xf>
    <xf numFmtId="2" fontId="15" fillId="0" borderId="6" xfId="0" applyNumberFormat="1" applyFont="1" applyBorder="1" applyAlignment="1">
      <alignment horizontal="center"/>
    </xf>
    <xf numFmtId="1" fontId="15" fillId="0" borderId="3" xfId="0" applyNumberFormat="1" applyFont="1" applyBorder="1" applyAlignment="1">
      <alignment horizontal="center"/>
    </xf>
    <xf numFmtId="0" fontId="15" fillId="0" borderId="3" xfId="0" applyFont="1" applyBorder="1" applyAlignment="1">
      <alignment horizontal="center"/>
    </xf>
    <xf numFmtId="0" fontId="11" fillId="0" borderId="3" xfId="0" applyFont="1" applyBorder="1" applyAlignment="1">
      <alignment horizontal="left" vertical="top" wrapText="1"/>
    </xf>
    <xf numFmtId="2" fontId="15" fillId="0" borderId="3" xfId="0" applyNumberFormat="1" applyFont="1" applyBorder="1" applyAlignment="1">
      <alignment horizontal="center"/>
    </xf>
    <xf numFmtId="2" fontId="15" fillId="0" borderId="3" xfId="0" applyNumberFormat="1" applyFont="1" applyFill="1" applyBorder="1" applyAlignment="1">
      <alignment horizontal="center"/>
    </xf>
    <xf numFmtId="0" fontId="15" fillId="0" borderId="3" xfId="0" applyFont="1" applyFill="1" applyBorder="1" applyAlignment="1">
      <alignment horizontal="center"/>
    </xf>
    <xf numFmtId="1" fontId="0" fillId="0" borderId="0" xfId="0" applyNumberFormat="1" applyAlignment="1">
      <alignment horizontal="left" readingOrder="1"/>
    </xf>
    <xf numFmtId="0" fontId="0" fillId="0" borderId="0" xfId="0" applyAlignment="1">
      <alignment horizontal="left" readingOrder="1"/>
    </xf>
    <xf numFmtId="0" fontId="9" fillId="2" borderId="7" xfId="0" applyFont="1" applyFill="1" applyBorder="1" applyAlignment="1">
      <alignment horizontal="center" vertical="center"/>
    </xf>
    <xf numFmtId="0" fontId="9" fillId="2" borderId="6" xfId="0" applyFont="1" applyFill="1" applyBorder="1" applyAlignment="1">
      <alignment horizontal="center" vertical="center"/>
    </xf>
    <xf numFmtId="0" fontId="11" fillId="0" borderId="0" xfId="0" applyFont="1" applyFill="1" applyBorder="1" applyAlignment="1">
      <alignment horizontal="left" vertical="top" wrapText="1"/>
    </xf>
    <xf numFmtId="0" fontId="8" fillId="0" borderId="10" xfId="0" applyFont="1" applyFill="1" applyBorder="1" applyAlignment="1">
      <alignment horizontal="center"/>
    </xf>
    <xf numFmtId="0" fontId="8" fillId="0" borderId="8" xfId="0" applyFont="1" applyFill="1" applyBorder="1" applyAlignment="1">
      <alignment horizontal="center"/>
    </xf>
    <xf numFmtId="0" fontId="8" fillId="0" borderId="11" xfId="0" applyFont="1" applyFill="1" applyBorder="1" applyAlignment="1">
      <alignment horizontal="center"/>
    </xf>
    <xf numFmtId="2" fontId="0" fillId="0" borderId="10" xfId="0" applyNumberFormat="1" applyBorder="1" applyAlignment="1">
      <alignment horizontal="center" vertical="center"/>
    </xf>
    <xf numFmtId="2" fontId="0" fillId="0" borderId="8" xfId="0" applyNumberFormat="1" applyBorder="1" applyAlignment="1">
      <alignment horizontal="center" vertical="center"/>
    </xf>
    <xf numFmtId="2" fontId="0" fillId="0" borderId="11" xfId="0" applyNumberFormat="1" applyBorder="1" applyAlignment="1">
      <alignment horizontal="center" vertical="center"/>
    </xf>
    <xf numFmtId="2" fontId="0" fillId="0" borderId="12" xfId="0" applyNumberFormat="1" applyBorder="1" applyAlignment="1">
      <alignment horizontal="center" vertical="center"/>
    </xf>
    <xf numFmtId="2" fontId="0" fillId="0" borderId="2" xfId="0" applyNumberFormat="1" applyBorder="1" applyAlignment="1">
      <alignment horizontal="center" vertical="center"/>
    </xf>
    <xf numFmtId="2" fontId="0" fillId="0" borderId="13" xfId="0" applyNumberFormat="1" applyBorder="1" applyAlignment="1">
      <alignment horizontal="center" vertical="center"/>
    </xf>
    <xf numFmtId="0" fontId="8" fillId="0" borderId="12" xfId="0" applyFont="1" applyFill="1" applyBorder="1" applyAlignment="1">
      <alignment horizontal="center"/>
    </xf>
    <xf numFmtId="0" fontId="8" fillId="0" borderId="2" xfId="0" applyFont="1" applyFill="1" applyBorder="1" applyAlignment="1">
      <alignment horizontal="center"/>
    </xf>
    <xf numFmtId="0" fontId="8" fillId="0" borderId="13" xfId="0" applyFont="1" applyFill="1" applyBorder="1" applyAlignment="1">
      <alignment horizontal="center"/>
    </xf>
    <xf numFmtId="0" fontId="11" fillId="0" borderId="3" xfId="0" applyFont="1" applyBorder="1" applyAlignment="1">
      <alignment horizontal="center" vertical="center"/>
    </xf>
    <xf numFmtId="0" fontId="15" fillId="0" borderId="0" xfId="0" applyFont="1" applyAlignment="1">
      <alignment horizontal="left" wrapText="1"/>
    </xf>
    <xf numFmtId="1" fontId="14" fillId="0" borderId="0" xfId="0" applyNumberFormat="1" applyFont="1" applyFill="1" applyBorder="1" applyAlignment="1">
      <alignment horizontal="left" readingOrder="1"/>
    </xf>
    <xf numFmtId="0" fontId="14" fillId="0" borderId="0" xfId="0" applyFont="1" applyFill="1" applyBorder="1" applyAlignment="1">
      <alignment horizontal="left" readingOrder="1"/>
    </xf>
    <xf numFmtId="2" fontId="0" fillId="0" borderId="0" xfId="0" applyNumberFormat="1" applyAlignment="1">
      <alignment horizontal="left" readingOrder="1"/>
    </xf>
    <xf numFmtId="1" fontId="15" fillId="0" borderId="5" xfId="0" applyNumberFormat="1" applyFont="1" applyBorder="1" applyAlignment="1">
      <alignment horizontal="center"/>
    </xf>
    <xf numFmtId="1" fontId="15" fillId="0" borderId="7" xfId="0" applyNumberFormat="1" applyFont="1" applyBorder="1" applyAlignment="1">
      <alignment horizontal="center"/>
    </xf>
    <xf numFmtId="1" fontId="15" fillId="0" borderId="6" xfId="0" applyNumberFormat="1" applyFont="1" applyBorder="1" applyAlignment="1">
      <alignment horizontal="center"/>
    </xf>
    <xf numFmtId="2" fontId="14" fillId="0" borderId="0" xfId="0" applyNumberFormat="1" applyFont="1" applyFill="1" applyBorder="1" applyAlignment="1">
      <alignment horizontal="left" readingOrder="1"/>
    </xf>
    <xf numFmtId="165" fontId="15" fillId="0" borderId="0" xfId="0" applyNumberFormat="1" applyFont="1" applyFill="1" applyAlignment="1">
      <alignment horizontal="center"/>
    </xf>
    <xf numFmtId="0" fontId="77" fillId="0" borderId="0" xfId="0" applyFont="1" applyAlignment="1" applyProtection="1">
      <alignment horizontal="center" vertical="center"/>
      <protection locked="0"/>
    </xf>
    <xf numFmtId="0" fontId="77" fillId="0" borderId="0" xfId="0" applyFont="1" applyAlignment="1" applyProtection="1">
      <alignment horizontal="center" vertical="center"/>
      <protection locked="0"/>
    </xf>
    <xf numFmtId="0" fontId="0" fillId="0" borderId="0" xfId="0" applyProtection="1">
      <protection locked="0"/>
    </xf>
    <xf numFmtId="164" fontId="43" fillId="3" borderId="0" xfId="0" applyNumberFormat="1" applyFont="1" applyFill="1" applyProtection="1">
      <protection locked="0"/>
    </xf>
    <xf numFmtId="0" fontId="43" fillId="3" borderId="0" xfId="0" applyFont="1" applyFill="1" applyProtection="1">
      <protection locked="0"/>
    </xf>
    <xf numFmtId="1" fontId="43" fillId="3" borderId="0" xfId="0" applyNumberFormat="1" applyFont="1" applyFill="1" applyProtection="1">
      <protection locked="0"/>
    </xf>
    <xf numFmtId="165" fontId="43" fillId="3" borderId="0" xfId="0" applyNumberFormat="1" applyFont="1" applyFill="1" applyProtection="1">
      <protection locked="0"/>
    </xf>
    <xf numFmtId="0" fontId="8" fillId="0" borderId="0" xfId="0" applyFont="1" applyBorder="1" applyProtection="1">
      <protection locked="0"/>
    </xf>
    <xf numFmtId="0" fontId="8" fillId="0" borderId="0" xfId="0" applyFont="1" applyFill="1" applyBorder="1" applyProtection="1">
      <protection locked="0"/>
    </xf>
    <xf numFmtId="0" fontId="76" fillId="0" borderId="0" xfId="0" applyFont="1" applyProtection="1">
      <protection locked="0"/>
    </xf>
    <xf numFmtId="0" fontId="14" fillId="0" borderId="0" xfId="0" applyFont="1" applyFill="1" applyBorder="1" applyAlignment="1" applyProtection="1">
      <alignment vertical="center" readingOrder="1"/>
      <protection locked="0"/>
    </xf>
    <xf numFmtId="1" fontId="78" fillId="0" borderId="0" xfId="0" applyNumberFormat="1" applyFont="1" applyProtection="1">
      <protection locked="0"/>
    </xf>
    <xf numFmtId="0" fontId="43" fillId="0" borderId="0" xfId="0" applyFont="1" applyProtection="1">
      <protection locked="0"/>
    </xf>
    <xf numFmtId="0" fontId="81" fillId="0" borderId="0" xfId="0" applyFont="1" applyProtection="1">
      <protection locked="0"/>
    </xf>
    <xf numFmtId="2" fontId="0" fillId="0" borderId="0" xfId="0" applyNumberFormat="1" applyProtection="1">
      <protection hidden="1"/>
    </xf>
    <xf numFmtId="164" fontId="0" fillId="0" borderId="0" xfId="0" applyNumberFormat="1" applyProtection="1">
      <protection hidden="1"/>
    </xf>
    <xf numFmtId="0" fontId="0" fillId="0" borderId="0" xfId="0" applyProtection="1">
      <protection hidden="1"/>
    </xf>
    <xf numFmtId="1" fontId="78" fillId="0" borderId="0" xfId="0" applyNumberFormat="1" applyFont="1" applyProtection="1">
      <protection hidden="1"/>
    </xf>
  </cellXfs>
  <cellStyles count="3">
    <cellStyle name="Hyperlink 2 2" xfId="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11.png"/><Relationship Id="rId2" Type="http://schemas.openxmlformats.org/officeDocument/2006/relationships/image" Target="../media/image10.png"/><Relationship Id="rId1" Type="http://schemas.openxmlformats.org/officeDocument/2006/relationships/image" Target="../media/image9.png"/><Relationship Id="rId4" Type="http://schemas.openxmlformats.org/officeDocument/2006/relationships/image" Target="../media/image1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4.png"/></Relationships>
</file>

<file path=xl/drawings/_rels/drawing4.xml.rels><?xml version="1.0" encoding="UTF-8" standalone="yes"?>
<Relationships xmlns="http://schemas.openxmlformats.org/package/2006/relationships"><Relationship Id="rId1" Type="http://schemas.openxmlformats.org/officeDocument/2006/relationships/image" Target="../media/image11.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4.emf"/><Relationship Id="rId7" Type="http://schemas.openxmlformats.org/officeDocument/2006/relationships/image" Target="../media/image8.emf"/><Relationship Id="rId2" Type="http://schemas.openxmlformats.org/officeDocument/2006/relationships/image" Target="../media/image3.emf"/><Relationship Id="rId1" Type="http://schemas.openxmlformats.org/officeDocument/2006/relationships/image" Target="../media/image2.emf"/><Relationship Id="rId6" Type="http://schemas.openxmlformats.org/officeDocument/2006/relationships/image" Target="../media/image7.emf"/><Relationship Id="rId5" Type="http://schemas.openxmlformats.org/officeDocument/2006/relationships/image" Target="../media/image6.emf"/><Relationship Id="rId4" Type="http://schemas.openxmlformats.org/officeDocument/2006/relationships/image" Target="../media/image5.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oneCell">
    <xdr:from>
      <xdr:col>11</xdr:col>
      <xdr:colOff>133351</xdr:colOff>
      <xdr:row>38</xdr:row>
      <xdr:rowOff>114301</xdr:rowOff>
    </xdr:from>
    <xdr:to>
      <xdr:col>17</xdr:col>
      <xdr:colOff>104775</xdr:colOff>
      <xdr:row>42</xdr:row>
      <xdr:rowOff>123826</xdr:rowOff>
    </xdr:to>
    <xdr:pic>
      <xdr:nvPicPr>
        <xdr:cNvPr id="2" name="Picture 1"/>
        <xdr:cNvPicPr>
          <a:picLocks noChangeAspect="1"/>
        </xdr:cNvPicPr>
      </xdr:nvPicPr>
      <xdr:blipFill>
        <a:blip xmlns:r="http://schemas.openxmlformats.org/officeDocument/2006/relationships" r:embed="rId1" cstate="print"/>
        <a:stretch>
          <a:fillRect/>
        </a:stretch>
      </xdr:blipFill>
      <xdr:spPr>
        <a:xfrm>
          <a:off x="2352676" y="5991226"/>
          <a:ext cx="1171574" cy="6572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18</xdr:col>
      <xdr:colOff>120927</xdr:colOff>
      <xdr:row>97</xdr:row>
      <xdr:rowOff>16566</xdr:rowOff>
    </xdr:from>
    <xdr:to>
      <xdr:col>18</xdr:col>
      <xdr:colOff>120927</xdr:colOff>
      <xdr:row>97</xdr:row>
      <xdr:rowOff>168966</xdr:rowOff>
    </xdr:to>
    <xdr:sp macro="" textlink="">
      <xdr:nvSpPr>
        <xdr:cNvPr id="10" name="Line 60"/>
        <xdr:cNvSpPr>
          <a:spLocks noChangeShapeType="1"/>
        </xdr:cNvSpPr>
      </xdr:nvSpPr>
      <xdr:spPr bwMode="auto">
        <a:xfrm>
          <a:off x="2521227" y="15961416"/>
          <a:ext cx="0" cy="1524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142875</xdr:colOff>
      <xdr:row>109</xdr:row>
      <xdr:rowOff>167180</xdr:rowOff>
    </xdr:from>
    <xdr:to>
      <xdr:col>28</xdr:col>
      <xdr:colOff>142875</xdr:colOff>
      <xdr:row>111</xdr:row>
      <xdr:rowOff>9525</xdr:rowOff>
    </xdr:to>
    <xdr:sp macro="" textlink="">
      <xdr:nvSpPr>
        <xdr:cNvPr id="42" name="Line 96"/>
        <xdr:cNvSpPr>
          <a:spLocks noChangeShapeType="1"/>
        </xdr:cNvSpPr>
      </xdr:nvSpPr>
      <xdr:spPr bwMode="auto">
        <a:xfrm flipH="1">
          <a:off x="4410075" y="20760230"/>
          <a:ext cx="0" cy="4043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101876</xdr:colOff>
      <xdr:row>97</xdr:row>
      <xdr:rowOff>92766</xdr:rowOff>
    </xdr:from>
    <xdr:to>
      <xdr:col>18</xdr:col>
      <xdr:colOff>111402</xdr:colOff>
      <xdr:row>97</xdr:row>
      <xdr:rowOff>92766</xdr:rowOff>
    </xdr:to>
    <xdr:sp macro="" textlink="">
      <xdr:nvSpPr>
        <xdr:cNvPr id="43" name="Line 97"/>
        <xdr:cNvSpPr>
          <a:spLocks noChangeShapeType="1"/>
        </xdr:cNvSpPr>
      </xdr:nvSpPr>
      <xdr:spPr bwMode="auto">
        <a:xfrm>
          <a:off x="2368826" y="16037616"/>
          <a:ext cx="142876"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21</xdr:col>
      <xdr:colOff>85725</xdr:colOff>
      <xdr:row>97</xdr:row>
      <xdr:rowOff>95250</xdr:rowOff>
    </xdr:from>
    <xdr:to>
      <xdr:col>22</xdr:col>
      <xdr:colOff>47625</xdr:colOff>
      <xdr:row>97</xdr:row>
      <xdr:rowOff>95250</xdr:rowOff>
    </xdr:to>
    <xdr:sp macro="" textlink="">
      <xdr:nvSpPr>
        <xdr:cNvPr id="44" name="Line 98"/>
        <xdr:cNvSpPr>
          <a:spLocks noChangeShapeType="1"/>
        </xdr:cNvSpPr>
      </xdr:nvSpPr>
      <xdr:spPr bwMode="auto">
        <a:xfrm flipH="1">
          <a:off x="3286125" y="26517600"/>
          <a:ext cx="1143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mc:AlternateContent xmlns:mc="http://schemas.openxmlformats.org/markup-compatibility/2006">
    <mc:Choice xmlns:a14="http://schemas.microsoft.com/office/drawing/2010/main" Requires="a14">
      <xdr:twoCellAnchor editAs="oneCell">
        <xdr:from>
          <xdr:col>48</xdr:col>
          <xdr:colOff>127000</xdr:colOff>
          <xdr:row>125</xdr:row>
          <xdr:rowOff>76200</xdr:rowOff>
        </xdr:from>
        <xdr:to>
          <xdr:col>52</xdr:col>
          <xdr:colOff>31750</xdr:colOff>
          <xdr:row>126</xdr:row>
          <xdr:rowOff>107950</xdr:rowOff>
        </xdr:to>
        <xdr:sp macro="" textlink="">
          <xdr:nvSpPr>
            <xdr:cNvPr id="5128" name="Object 8" hidden="1">
              <a:extLst>
                <a:ext uri="{63B3BB69-23CF-44E3-9099-C40C66FF867C}">
                  <a14:compatExt spid="_x0000_s5128"/>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21</xdr:col>
      <xdr:colOff>66675</xdr:colOff>
      <xdr:row>652</xdr:row>
      <xdr:rowOff>0</xdr:rowOff>
    </xdr:from>
    <xdr:to>
      <xdr:col>21</xdr:col>
      <xdr:colOff>144826</xdr:colOff>
      <xdr:row>653</xdr:row>
      <xdr:rowOff>6552</xdr:rowOff>
    </xdr:to>
    <xdr:sp macro="" textlink="">
      <xdr:nvSpPr>
        <xdr:cNvPr id="76" name="Text Box 16"/>
        <xdr:cNvSpPr txBox="1">
          <a:spLocks noChangeArrowheads="1"/>
        </xdr:cNvSpPr>
      </xdr:nvSpPr>
      <xdr:spPr bwMode="auto">
        <a:xfrm>
          <a:off x="2867025" y="34537650"/>
          <a:ext cx="76201" cy="2058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21</xdr:col>
      <xdr:colOff>66675</xdr:colOff>
      <xdr:row>652</xdr:row>
      <xdr:rowOff>0</xdr:rowOff>
    </xdr:from>
    <xdr:to>
      <xdr:col>21</xdr:col>
      <xdr:colOff>144826</xdr:colOff>
      <xdr:row>653</xdr:row>
      <xdr:rowOff>6552</xdr:rowOff>
    </xdr:to>
    <xdr:sp macro="" textlink="">
      <xdr:nvSpPr>
        <xdr:cNvPr id="77" name="Text Box 17"/>
        <xdr:cNvSpPr txBox="1">
          <a:spLocks noChangeArrowheads="1"/>
        </xdr:cNvSpPr>
      </xdr:nvSpPr>
      <xdr:spPr bwMode="auto">
        <a:xfrm>
          <a:off x="2867025" y="34537650"/>
          <a:ext cx="76201" cy="2058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27</xdr:col>
      <xdr:colOff>8283</xdr:colOff>
      <xdr:row>320</xdr:row>
      <xdr:rowOff>24847</xdr:rowOff>
    </xdr:from>
    <xdr:to>
      <xdr:col>28</xdr:col>
      <xdr:colOff>57978</xdr:colOff>
      <xdr:row>320</xdr:row>
      <xdr:rowOff>157369</xdr:rowOff>
    </xdr:to>
    <xdr:cxnSp macro="">
      <xdr:nvCxnSpPr>
        <xdr:cNvPr id="3" name="Elbow Connector 2"/>
        <xdr:cNvCxnSpPr/>
      </xdr:nvCxnSpPr>
      <xdr:spPr>
        <a:xfrm flipV="1">
          <a:off x="3586370" y="34174043"/>
          <a:ext cx="182217" cy="132522"/>
        </a:xfrm>
        <a:prstGeom prst="bentConnector3">
          <a:avLst>
            <a:gd name="adj1" fmla="val 22727"/>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111343</xdr:colOff>
      <xdr:row>109</xdr:row>
      <xdr:rowOff>23319</xdr:rowOff>
    </xdr:from>
    <xdr:to>
      <xdr:col>22</xdr:col>
      <xdr:colOff>114300</xdr:colOff>
      <xdr:row>109</xdr:row>
      <xdr:rowOff>28575</xdr:rowOff>
    </xdr:to>
    <xdr:sp macro="" textlink="">
      <xdr:nvSpPr>
        <xdr:cNvPr id="84" name="Line 91"/>
        <xdr:cNvSpPr>
          <a:spLocks noChangeShapeType="1"/>
        </xdr:cNvSpPr>
      </xdr:nvSpPr>
      <xdr:spPr bwMode="auto">
        <a:xfrm flipH="1" flipV="1">
          <a:off x="2854543" y="22264194"/>
          <a:ext cx="612557" cy="5256"/>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42</xdr:col>
      <xdr:colOff>114300</xdr:colOff>
      <xdr:row>292</xdr:row>
      <xdr:rowOff>0</xdr:rowOff>
    </xdr:from>
    <xdr:to>
      <xdr:col>49</xdr:col>
      <xdr:colOff>57150</xdr:colOff>
      <xdr:row>292</xdr:row>
      <xdr:rowOff>66675</xdr:rowOff>
    </xdr:to>
    <xdr:cxnSp macro="">
      <xdr:nvCxnSpPr>
        <xdr:cNvPr id="5" name="Straight Arrow Connector 4"/>
        <xdr:cNvCxnSpPr/>
      </xdr:nvCxnSpPr>
      <xdr:spPr>
        <a:xfrm flipV="1">
          <a:off x="5715000" y="37814250"/>
          <a:ext cx="876300" cy="952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47625</xdr:colOff>
      <xdr:row>655</xdr:row>
      <xdr:rowOff>0</xdr:rowOff>
    </xdr:from>
    <xdr:to>
      <xdr:col>16</xdr:col>
      <xdr:colOff>123826</xdr:colOff>
      <xdr:row>668</xdr:row>
      <xdr:rowOff>19050</xdr:rowOff>
    </xdr:to>
    <xdr:cxnSp macro="">
      <xdr:nvCxnSpPr>
        <xdr:cNvPr id="4" name="Straight Connector 3"/>
        <xdr:cNvCxnSpPr/>
      </xdr:nvCxnSpPr>
      <xdr:spPr>
        <a:xfrm flipH="1">
          <a:off x="2047875" y="71999475"/>
          <a:ext cx="209551" cy="2124075"/>
        </a:xfrm>
        <a:prstGeom prst="line">
          <a:avLst/>
        </a:prstGeom>
        <a:ln/>
      </xdr:spPr>
      <xdr:style>
        <a:lnRef idx="1">
          <a:schemeClr val="dk1"/>
        </a:lnRef>
        <a:fillRef idx="0">
          <a:schemeClr val="dk1"/>
        </a:fillRef>
        <a:effectRef idx="0">
          <a:schemeClr val="dk1"/>
        </a:effectRef>
        <a:fontRef idx="minor">
          <a:schemeClr val="tx1"/>
        </a:fontRef>
      </xdr:style>
    </xdr:cxnSp>
    <xdr:clientData/>
  </xdr:twoCellAnchor>
  <xdr:twoCellAnchor>
    <xdr:from>
      <xdr:col>20</xdr:col>
      <xdr:colOff>0</xdr:colOff>
      <xdr:row>668</xdr:row>
      <xdr:rowOff>0</xdr:rowOff>
    </xdr:from>
    <xdr:to>
      <xdr:col>33</xdr:col>
      <xdr:colOff>9525</xdr:colOff>
      <xdr:row>669</xdr:row>
      <xdr:rowOff>0</xdr:rowOff>
    </xdr:to>
    <xdr:cxnSp macro="">
      <xdr:nvCxnSpPr>
        <xdr:cNvPr id="7" name="Straight Connector 6"/>
        <xdr:cNvCxnSpPr/>
      </xdr:nvCxnSpPr>
      <xdr:spPr>
        <a:xfrm>
          <a:off x="2667000" y="74104500"/>
          <a:ext cx="1743075" cy="161925"/>
        </a:xfrm>
        <a:prstGeom prst="line">
          <a:avLst/>
        </a:prstGeom>
        <a:ln w="3175"/>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114300</xdr:colOff>
      <xdr:row>668</xdr:row>
      <xdr:rowOff>9525</xdr:rowOff>
    </xdr:from>
    <xdr:to>
      <xdr:col>15</xdr:col>
      <xdr:colOff>47625</xdr:colOff>
      <xdr:row>669</xdr:row>
      <xdr:rowOff>0</xdr:rowOff>
    </xdr:to>
    <xdr:cxnSp macro="">
      <xdr:nvCxnSpPr>
        <xdr:cNvPr id="60" name="Straight Connector 59"/>
        <xdr:cNvCxnSpPr/>
      </xdr:nvCxnSpPr>
      <xdr:spPr>
        <a:xfrm flipV="1">
          <a:off x="1047750" y="74114025"/>
          <a:ext cx="1000125" cy="152400"/>
        </a:xfrm>
        <a:prstGeom prst="line">
          <a:avLst/>
        </a:prstGeom>
        <a:ln w="3175"/>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114300</xdr:colOff>
      <xdr:row>670</xdr:row>
      <xdr:rowOff>87086</xdr:rowOff>
    </xdr:from>
    <xdr:to>
      <xdr:col>32</xdr:col>
      <xdr:colOff>76200</xdr:colOff>
      <xdr:row>670</xdr:row>
      <xdr:rowOff>92529</xdr:rowOff>
    </xdr:to>
    <xdr:cxnSp macro="">
      <xdr:nvCxnSpPr>
        <xdr:cNvPr id="71" name="Straight Connector 70"/>
        <xdr:cNvCxnSpPr/>
      </xdr:nvCxnSpPr>
      <xdr:spPr>
        <a:xfrm flipV="1">
          <a:off x="1202871" y="72313800"/>
          <a:ext cx="3227615" cy="544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54429</xdr:colOff>
      <xdr:row>655</xdr:row>
      <xdr:rowOff>66676</xdr:rowOff>
    </xdr:from>
    <xdr:to>
      <xdr:col>19</xdr:col>
      <xdr:colOff>85725</xdr:colOff>
      <xdr:row>670</xdr:row>
      <xdr:rowOff>16329</xdr:rowOff>
    </xdr:to>
    <xdr:cxnSp macro="">
      <xdr:nvCxnSpPr>
        <xdr:cNvPr id="88" name="Straight Connector 87"/>
        <xdr:cNvCxnSpPr/>
      </xdr:nvCxnSpPr>
      <xdr:spPr>
        <a:xfrm flipV="1">
          <a:off x="2639786" y="69816890"/>
          <a:ext cx="31296" cy="242615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92529</xdr:colOff>
      <xdr:row>655</xdr:row>
      <xdr:rowOff>57151</xdr:rowOff>
    </xdr:from>
    <xdr:to>
      <xdr:col>17</xdr:col>
      <xdr:colOff>47625</xdr:colOff>
      <xdr:row>670</xdr:row>
      <xdr:rowOff>10886</xdr:rowOff>
    </xdr:to>
    <xdr:cxnSp macro="">
      <xdr:nvCxnSpPr>
        <xdr:cNvPr id="107" name="Straight Connector 106"/>
        <xdr:cNvCxnSpPr/>
      </xdr:nvCxnSpPr>
      <xdr:spPr>
        <a:xfrm flipV="1">
          <a:off x="2133600" y="69807365"/>
          <a:ext cx="227239" cy="243023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16328</xdr:colOff>
      <xdr:row>668</xdr:row>
      <xdr:rowOff>36739</xdr:rowOff>
    </xdr:from>
    <xdr:to>
      <xdr:col>17</xdr:col>
      <xdr:colOff>73479</xdr:colOff>
      <xdr:row>669</xdr:row>
      <xdr:rowOff>43542</xdr:rowOff>
    </xdr:to>
    <xdr:cxnSp macro="">
      <xdr:nvCxnSpPr>
        <xdr:cNvPr id="91" name="Straight Connector 90"/>
        <xdr:cNvCxnSpPr/>
      </xdr:nvCxnSpPr>
      <xdr:spPr>
        <a:xfrm flipV="1">
          <a:off x="1240971" y="71936882"/>
          <a:ext cx="1145722" cy="170089"/>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66675</xdr:colOff>
      <xdr:row>668</xdr:row>
      <xdr:rowOff>38100</xdr:rowOff>
    </xdr:from>
    <xdr:to>
      <xdr:col>32</xdr:col>
      <xdr:colOff>47625</xdr:colOff>
      <xdr:row>669</xdr:row>
      <xdr:rowOff>66675</xdr:rowOff>
    </xdr:to>
    <xdr:cxnSp macro="">
      <xdr:nvCxnSpPr>
        <xdr:cNvPr id="93" name="Straight Connector 92"/>
        <xdr:cNvCxnSpPr/>
      </xdr:nvCxnSpPr>
      <xdr:spPr>
        <a:xfrm>
          <a:off x="2333625" y="74142600"/>
          <a:ext cx="1981200" cy="1905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50007</xdr:colOff>
      <xdr:row>670</xdr:row>
      <xdr:rowOff>35720</xdr:rowOff>
    </xdr:from>
    <xdr:to>
      <xdr:col>10</xdr:col>
      <xdr:colOff>95726</xdr:colOff>
      <xdr:row>670</xdr:row>
      <xdr:rowOff>81439</xdr:rowOff>
    </xdr:to>
    <xdr:sp macro="" textlink="">
      <xdr:nvSpPr>
        <xdr:cNvPr id="94" name="Oval 93"/>
        <xdr:cNvSpPr/>
      </xdr:nvSpPr>
      <xdr:spPr>
        <a:xfrm>
          <a:off x="1359695" y="74140220"/>
          <a:ext cx="45719" cy="45719"/>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12</xdr:col>
      <xdr:colOff>29766</xdr:colOff>
      <xdr:row>670</xdr:row>
      <xdr:rowOff>35719</xdr:rowOff>
    </xdr:from>
    <xdr:to>
      <xdr:col>12</xdr:col>
      <xdr:colOff>75485</xdr:colOff>
      <xdr:row>670</xdr:row>
      <xdr:rowOff>81438</xdr:rowOff>
    </xdr:to>
    <xdr:sp macro="" textlink="">
      <xdr:nvSpPr>
        <xdr:cNvPr id="112" name="Oval 111"/>
        <xdr:cNvSpPr/>
      </xdr:nvSpPr>
      <xdr:spPr>
        <a:xfrm>
          <a:off x="1601391" y="74140219"/>
          <a:ext cx="45719" cy="45719"/>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14</xdr:col>
      <xdr:colOff>11906</xdr:colOff>
      <xdr:row>670</xdr:row>
      <xdr:rowOff>29766</xdr:rowOff>
    </xdr:from>
    <xdr:to>
      <xdr:col>14</xdr:col>
      <xdr:colOff>57625</xdr:colOff>
      <xdr:row>670</xdr:row>
      <xdr:rowOff>75485</xdr:rowOff>
    </xdr:to>
    <xdr:sp macro="" textlink="">
      <xdr:nvSpPr>
        <xdr:cNvPr id="113" name="Oval 112"/>
        <xdr:cNvSpPr/>
      </xdr:nvSpPr>
      <xdr:spPr>
        <a:xfrm>
          <a:off x="1845469" y="74134266"/>
          <a:ext cx="45719" cy="45719"/>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17</xdr:col>
      <xdr:colOff>35719</xdr:colOff>
      <xdr:row>656</xdr:row>
      <xdr:rowOff>101204</xdr:rowOff>
    </xdr:from>
    <xdr:to>
      <xdr:col>17</xdr:col>
      <xdr:colOff>81438</xdr:colOff>
      <xdr:row>656</xdr:row>
      <xdr:rowOff>146923</xdr:rowOff>
    </xdr:to>
    <xdr:sp macro="" textlink="">
      <xdr:nvSpPr>
        <xdr:cNvPr id="115" name="Oval 114"/>
        <xdr:cNvSpPr/>
      </xdr:nvSpPr>
      <xdr:spPr>
        <a:xfrm>
          <a:off x="2262188" y="71955423"/>
          <a:ext cx="45719" cy="45719"/>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17</xdr:col>
      <xdr:colOff>5953</xdr:colOff>
      <xdr:row>659</xdr:row>
      <xdr:rowOff>11906</xdr:rowOff>
    </xdr:from>
    <xdr:to>
      <xdr:col>17</xdr:col>
      <xdr:colOff>51672</xdr:colOff>
      <xdr:row>659</xdr:row>
      <xdr:rowOff>57625</xdr:rowOff>
    </xdr:to>
    <xdr:sp macro="" textlink="">
      <xdr:nvSpPr>
        <xdr:cNvPr id="116" name="Oval 115"/>
        <xdr:cNvSpPr/>
      </xdr:nvSpPr>
      <xdr:spPr>
        <a:xfrm>
          <a:off x="2232422" y="72348328"/>
          <a:ext cx="45719" cy="45719"/>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16</xdr:col>
      <xdr:colOff>89297</xdr:colOff>
      <xdr:row>661</xdr:row>
      <xdr:rowOff>59531</xdr:rowOff>
    </xdr:from>
    <xdr:to>
      <xdr:col>17</xdr:col>
      <xdr:colOff>4047</xdr:colOff>
      <xdr:row>661</xdr:row>
      <xdr:rowOff>105250</xdr:rowOff>
    </xdr:to>
    <xdr:sp macro="" textlink="">
      <xdr:nvSpPr>
        <xdr:cNvPr id="117" name="Oval 116"/>
        <xdr:cNvSpPr/>
      </xdr:nvSpPr>
      <xdr:spPr>
        <a:xfrm>
          <a:off x="2184797" y="72717422"/>
          <a:ext cx="45719" cy="45719"/>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16</xdr:col>
      <xdr:colOff>59532</xdr:colOff>
      <xdr:row>663</xdr:row>
      <xdr:rowOff>89298</xdr:rowOff>
    </xdr:from>
    <xdr:to>
      <xdr:col>16</xdr:col>
      <xdr:colOff>105251</xdr:colOff>
      <xdr:row>663</xdr:row>
      <xdr:rowOff>135017</xdr:rowOff>
    </xdr:to>
    <xdr:sp macro="" textlink="">
      <xdr:nvSpPr>
        <xdr:cNvPr id="118" name="Oval 117"/>
        <xdr:cNvSpPr/>
      </xdr:nvSpPr>
      <xdr:spPr>
        <a:xfrm>
          <a:off x="2155032" y="73068657"/>
          <a:ext cx="45719" cy="45719"/>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16</xdr:col>
      <xdr:colOff>47625</xdr:colOff>
      <xdr:row>665</xdr:row>
      <xdr:rowOff>71437</xdr:rowOff>
    </xdr:from>
    <xdr:to>
      <xdr:col>16</xdr:col>
      <xdr:colOff>93344</xdr:colOff>
      <xdr:row>665</xdr:row>
      <xdr:rowOff>117156</xdr:rowOff>
    </xdr:to>
    <xdr:sp macro="" textlink="">
      <xdr:nvSpPr>
        <xdr:cNvPr id="119" name="Oval 118"/>
        <xdr:cNvSpPr/>
      </xdr:nvSpPr>
      <xdr:spPr>
        <a:xfrm>
          <a:off x="2143125" y="73372265"/>
          <a:ext cx="45719" cy="45719"/>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16</xdr:col>
      <xdr:colOff>11907</xdr:colOff>
      <xdr:row>667</xdr:row>
      <xdr:rowOff>95251</xdr:rowOff>
    </xdr:from>
    <xdr:to>
      <xdr:col>16</xdr:col>
      <xdr:colOff>57626</xdr:colOff>
      <xdr:row>667</xdr:row>
      <xdr:rowOff>140970</xdr:rowOff>
    </xdr:to>
    <xdr:sp macro="" textlink="">
      <xdr:nvSpPr>
        <xdr:cNvPr id="120" name="Oval 119"/>
        <xdr:cNvSpPr/>
      </xdr:nvSpPr>
      <xdr:spPr>
        <a:xfrm>
          <a:off x="2107407" y="73717548"/>
          <a:ext cx="45719" cy="45719"/>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19</xdr:col>
      <xdr:colOff>27385</xdr:colOff>
      <xdr:row>655</xdr:row>
      <xdr:rowOff>140494</xdr:rowOff>
    </xdr:from>
    <xdr:to>
      <xdr:col>19</xdr:col>
      <xdr:colOff>73104</xdr:colOff>
      <xdr:row>656</xdr:row>
      <xdr:rowOff>25478</xdr:rowOff>
    </xdr:to>
    <xdr:sp macro="" textlink="">
      <xdr:nvSpPr>
        <xdr:cNvPr id="121" name="Oval 120"/>
        <xdr:cNvSpPr/>
      </xdr:nvSpPr>
      <xdr:spPr>
        <a:xfrm>
          <a:off x="2515791" y="71833978"/>
          <a:ext cx="45719" cy="45719"/>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19</xdr:col>
      <xdr:colOff>17860</xdr:colOff>
      <xdr:row>657</xdr:row>
      <xdr:rowOff>23812</xdr:rowOff>
    </xdr:from>
    <xdr:to>
      <xdr:col>19</xdr:col>
      <xdr:colOff>63579</xdr:colOff>
      <xdr:row>657</xdr:row>
      <xdr:rowOff>69531</xdr:rowOff>
    </xdr:to>
    <xdr:sp macro="" textlink="">
      <xdr:nvSpPr>
        <xdr:cNvPr id="122" name="Oval 121"/>
        <xdr:cNvSpPr/>
      </xdr:nvSpPr>
      <xdr:spPr>
        <a:xfrm>
          <a:off x="2506266" y="72038765"/>
          <a:ext cx="45719" cy="45719"/>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19</xdr:col>
      <xdr:colOff>29766</xdr:colOff>
      <xdr:row>658</xdr:row>
      <xdr:rowOff>83343</xdr:rowOff>
    </xdr:from>
    <xdr:to>
      <xdr:col>19</xdr:col>
      <xdr:colOff>75485</xdr:colOff>
      <xdr:row>658</xdr:row>
      <xdr:rowOff>129062</xdr:rowOff>
    </xdr:to>
    <xdr:sp macro="" textlink="">
      <xdr:nvSpPr>
        <xdr:cNvPr id="123" name="Oval 122"/>
        <xdr:cNvSpPr/>
      </xdr:nvSpPr>
      <xdr:spPr>
        <a:xfrm>
          <a:off x="2518172" y="72259031"/>
          <a:ext cx="45719" cy="45719"/>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19</xdr:col>
      <xdr:colOff>17860</xdr:colOff>
      <xdr:row>659</xdr:row>
      <xdr:rowOff>148828</xdr:rowOff>
    </xdr:from>
    <xdr:to>
      <xdr:col>19</xdr:col>
      <xdr:colOff>63579</xdr:colOff>
      <xdr:row>660</xdr:row>
      <xdr:rowOff>33813</xdr:rowOff>
    </xdr:to>
    <xdr:sp macro="" textlink="">
      <xdr:nvSpPr>
        <xdr:cNvPr id="124" name="Oval 123"/>
        <xdr:cNvSpPr/>
      </xdr:nvSpPr>
      <xdr:spPr>
        <a:xfrm>
          <a:off x="2506266" y="72485250"/>
          <a:ext cx="45719" cy="45719"/>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19</xdr:col>
      <xdr:colOff>29767</xdr:colOff>
      <xdr:row>661</xdr:row>
      <xdr:rowOff>53578</xdr:rowOff>
    </xdr:from>
    <xdr:to>
      <xdr:col>19</xdr:col>
      <xdr:colOff>75486</xdr:colOff>
      <xdr:row>661</xdr:row>
      <xdr:rowOff>99297</xdr:rowOff>
    </xdr:to>
    <xdr:sp macro="" textlink="">
      <xdr:nvSpPr>
        <xdr:cNvPr id="125" name="Oval 124"/>
        <xdr:cNvSpPr/>
      </xdr:nvSpPr>
      <xdr:spPr>
        <a:xfrm>
          <a:off x="2518173" y="72711469"/>
          <a:ext cx="45719" cy="45719"/>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19</xdr:col>
      <xdr:colOff>17860</xdr:colOff>
      <xdr:row>662</xdr:row>
      <xdr:rowOff>71437</xdr:rowOff>
    </xdr:from>
    <xdr:to>
      <xdr:col>19</xdr:col>
      <xdr:colOff>63579</xdr:colOff>
      <xdr:row>662</xdr:row>
      <xdr:rowOff>117156</xdr:rowOff>
    </xdr:to>
    <xdr:sp macro="" textlink="">
      <xdr:nvSpPr>
        <xdr:cNvPr id="126" name="Oval 125"/>
        <xdr:cNvSpPr/>
      </xdr:nvSpPr>
      <xdr:spPr>
        <a:xfrm>
          <a:off x="2506266" y="72890062"/>
          <a:ext cx="45719" cy="45719"/>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19</xdr:col>
      <xdr:colOff>17860</xdr:colOff>
      <xdr:row>663</xdr:row>
      <xdr:rowOff>101203</xdr:rowOff>
    </xdr:from>
    <xdr:to>
      <xdr:col>19</xdr:col>
      <xdr:colOff>63579</xdr:colOff>
      <xdr:row>663</xdr:row>
      <xdr:rowOff>146922</xdr:rowOff>
    </xdr:to>
    <xdr:sp macro="" textlink="">
      <xdr:nvSpPr>
        <xdr:cNvPr id="127" name="Oval 126"/>
        <xdr:cNvSpPr/>
      </xdr:nvSpPr>
      <xdr:spPr>
        <a:xfrm>
          <a:off x="2506266" y="73080562"/>
          <a:ext cx="45719" cy="45719"/>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19</xdr:col>
      <xdr:colOff>5954</xdr:colOff>
      <xdr:row>665</xdr:row>
      <xdr:rowOff>5954</xdr:rowOff>
    </xdr:from>
    <xdr:to>
      <xdr:col>19</xdr:col>
      <xdr:colOff>51673</xdr:colOff>
      <xdr:row>665</xdr:row>
      <xdr:rowOff>51673</xdr:rowOff>
    </xdr:to>
    <xdr:sp macro="" textlink="">
      <xdr:nvSpPr>
        <xdr:cNvPr id="128" name="Oval 127"/>
        <xdr:cNvSpPr/>
      </xdr:nvSpPr>
      <xdr:spPr>
        <a:xfrm>
          <a:off x="2494360" y="73306782"/>
          <a:ext cx="45719" cy="45719"/>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19</xdr:col>
      <xdr:colOff>11907</xdr:colOff>
      <xdr:row>666</xdr:row>
      <xdr:rowOff>53578</xdr:rowOff>
    </xdr:from>
    <xdr:to>
      <xdr:col>19</xdr:col>
      <xdr:colOff>57626</xdr:colOff>
      <xdr:row>666</xdr:row>
      <xdr:rowOff>99297</xdr:rowOff>
    </xdr:to>
    <xdr:sp macro="" textlink="">
      <xdr:nvSpPr>
        <xdr:cNvPr id="129" name="Oval 128"/>
        <xdr:cNvSpPr/>
      </xdr:nvSpPr>
      <xdr:spPr>
        <a:xfrm>
          <a:off x="2500313" y="73515141"/>
          <a:ext cx="45719" cy="45719"/>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19</xdr:col>
      <xdr:colOff>5954</xdr:colOff>
      <xdr:row>667</xdr:row>
      <xdr:rowOff>65485</xdr:rowOff>
    </xdr:from>
    <xdr:to>
      <xdr:col>19</xdr:col>
      <xdr:colOff>51673</xdr:colOff>
      <xdr:row>667</xdr:row>
      <xdr:rowOff>111204</xdr:rowOff>
    </xdr:to>
    <xdr:sp macro="" textlink="">
      <xdr:nvSpPr>
        <xdr:cNvPr id="130" name="Oval 129"/>
        <xdr:cNvSpPr/>
      </xdr:nvSpPr>
      <xdr:spPr>
        <a:xfrm>
          <a:off x="2494360" y="73687782"/>
          <a:ext cx="45719" cy="45719"/>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20</xdr:col>
      <xdr:colOff>23813</xdr:colOff>
      <xdr:row>668</xdr:row>
      <xdr:rowOff>83344</xdr:rowOff>
    </xdr:from>
    <xdr:to>
      <xdr:col>20</xdr:col>
      <xdr:colOff>69532</xdr:colOff>
      <xdr:row>668</xdr:row>
      <xdr:rowOff>129063</xdr:rowOff>
    </xdr:to>
    <xdr:sp macro="" textlink="">
      <xdr:nvSpPr>
        <xdr:cNvPr id="131" name="Oval 130"/>
        <xdr:cNvSpPr/>
      </xdr:nvSpPr>
      <xdr:spPr>
        <a:xfrm>
          <a:off x="2643188" y="73866375"/>
          <a:ext cx="45719" cy="45719"/>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21</xdr:col>
      <xdr:colOff>125016</xdr:colOff>
      <xdr:row>668</xdr:row>
      <xdr:rowOff>107157</xdr:rowOff>
    </xdr:from>
    <xdr:to>
      <xdr:col>22</xdr:col>
      <xdr:colOff>39766</xdr:colOff>
      <xdr:row>668</xdr:row>
      <xdr:rowOff>152876</xdr:rowOff>
    </xdr:to>
    <xdr:sp macro="" textlink="">
      <xdr:nvSpPr>
        <xdr:cNvPr id="132" name="Oval 131"/>
        <xdr:cNvSpPr/>
      </xdr:nvSpPr>
      <xdr:spPr>
        <a:xfrm>
          <a:off x="2875360" y="73890188"/>
          <a:ext cx="45719" cy="45719"/>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26</xdr:col>
      <xdr:colOff>124504</xdr:colOff>
      <xdr:row>669</xdr:row>
      <xdr:rowOff>13267</xdr:rowOff>
    </xdr:from>
    <xdr:to>
      <xdr:col>27</xdr:col>
      <xdr:colOff>39255</xdr:colOff>
      <xdr:row>669</xdr:row>
      <xdr:rowOff>61537</xdr:rowOff>
    </xdr:to>
    <xdr:sp macro="" textlink="">
      <xdr:nvSpPr>
        <xdr:cNvPr id="133" name="Oval 132"/>
        <xdr:cNvSpPr/>
      </xdr:nvSpPr>
      <xdr:spPr>
        <a:xfrm>
          <a:off x="3662361" y="72076696"/>
          <a:ext cx="50823" cy="4827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23</xdr:col>
      <xdr:colOff>107157</xdr:colOff>
      <xdr:row>668</xdr:row>
      <xdr:rowOff>136923</xdr:rowOff>
    </xdr:from>
    <xdr:to>
      <xdr:col>24</xdr:col>
      <xdr:colOff>21907</xdr:colOff>
      <xdr:row>669</xdr:row>
      <xdr:rowOff>21907</xdr:rowOff>
    </xdr:to>
    <xdr:sp macro="" textlink="">
      <xdr:nvSpPr>
        <xdr:cNvPr id="134" name="Oval 133"/>
        <xdr:cNvSpPr/>
      </xdr:nvSpPr>
      <xdr:spPr>
        <a:xfrm>
          <a:off x="3119438" y="73919954"/>
          <a:ext cx="45719" cy="45719"/>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25</xdr:col>
      <xdr:colOff>41672</xdr:colOff>
      <xdr:row>668</xdr:row>
      <xdr:rowOff>154782</xdr:rowOff>
    </xdr:from>
    <xdr:to>
      <xdr:col>25</xdr:col>
      <xdr:colOff>87391</xdr:colOff>
      <xdr:row>669</xdr:row>
      <xdr:rowOff>39766</xdr:rowOff>
    </xdr:to>
    <xdr:sp macro="" textlink="">
      <xdr:nvSpPr>
        <xdr:cNvPr id="135" name="Oval 134"/>
        <xdr:cNvSpPr/>
      </xdr:nvSpPr>
      <xdr:spPr>
        <a:xfrm>
          <a:off x="3315891" y="73937813"/>
          <a:ext cx="45719" cy="45719"/>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29</xdr:col>
      <xdr:colOff>125016</xdr:colOff>
      <xdr:row>669</xdr:row>
      <xdr:rowOff>41671</xdr:rowOff>
    </xdr:from>
    <xdr:to>
      <xdr:col>30</xdr:col>
      <xdr:colOff>39766</xdr:colOff>
      <xdr:row>669</xdr:row>
      <xdr:rowOff>87390</xdr:rowOff>
    </xdr:to>
    <xdr:sp macro="" textlink="">
      <xdr:nvSpPr>
        <xdr:cNvPr id="136" name="Oval 135"/>
        <xdr:cNvSpPr/>
      </xdr:nvSpPr>
      <xdr:spPr>
        <a:xfrm>
          <a:off x="3923110" y="73985437"/>
          <a:ext cx="45719" cy="45719"/>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28</xdr:col>
      <xdr:colOff>75010</xdr:colOff>
      <xdr:row>669</xdr:row>
      <xdr:rowOff>33337</xdr:rowOff>
    </xdr:from>
    <xdr:to>
      <xdr:col>28</xdr:col>
      <xdr:colOff>120729</xdr:colOff>
      <xdr:row>669</xdr:row>
      <xdr:rowOff>79056</xdr:rowOff>
    </xdr:to>
    <xdr:sp macro="" textlink="">
      <xdr:nvSpPr>
        <xdr:cNvPr id="137" name="Oval 136"/>
        <xdr:cNvSpPr/>
      </xdr:nvSpPr>
      <xdr:spPr>
        <a:xfrm>
          <a:off x="3742135" y="73977103"/>
          <a:ext cx="45719" cy="45719"/>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31</xdr:col>
      <xdr:colOff>41672</xdr:colOff>
      <xdr:row>669</xdr:row>
      <xdr:rowOff>59531</xdr:rowOff>
    </xdr:from>
    <xdr:to>
      <xdr:col>31</xdr:col>
      <xdr:colOff>87391</xdr:colOff>
      <xdr:row>669</xdr:row>
      <xdr:rowOff>105250</xdr:rowOff>
    </xdr:to>
    <xdr:sp macro="" textlink="">
      <xdr:nvSpPr>
        <xdr:cNvPr id="138" name="Oval 137"/>
        <xdr:cNvSpPr/>
      </xdr:nvSpPr>
      <xdr:spPr>
        <a:xfrm>
          <a:off x="4101703" y="74003297"/>
          <a:ext cx="45719" cy="45719"/>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16</xdr:col>
      <xdr:colOff>117231</xdr:colOff>
      <xdr:row>654</xdr:row>
      <xdr:rowOff>80596</xdr:rowOff>
    </xdr:from>
    <xdr:to>
      <xdr:col>19</xdr:col>
      <xdr:colOff>124557</xdr:colOff>
      <xdr:row>654</xdr:row>
      <xdr:rowOff>87923</xdr:rowOff>
    </xdr:to>
    <xdr:cxnSp macro="">
      <xdr:nvCxnSpPr>
        <xdr:cNvPr id="96" name="Straight Arrow Connector 95"/>
        <xdr:cNvCxnSpPr/>
      </xdr:nvCxnSpPr>
      <xdr:spPr>
        <a:xfrm>
          <a:off x="2227385" y="71635327"/>
          <a:ext cx="402980" cy="7327"/>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66675</xdr:colOff>
      <xdr:row>671</xdr:row>
      <xdr:rowOff>66675</xdr:rowOff>
    </xdr:from>
    <xdr:to>
      <xdr:col>19</xdr:col>
      <xdr:colOff>114300</xdr:colOff>
      <xdr:row>671</xdr:row>
      <xdr:rowOff>76200</xdr:rowOff>
    </xdr:to>
    <xdr:cxnSp macro="">
      <xdr:nvCxnSpPr>
        <xdr:cNvPr id="142" name="Straight Arrow Connector 141"/>
        <xdr:cNvCxnSpPr/>
      </xdr:nvCxnSpPr>
      <xdr:spPr>
        <a:xfrm flipV="1">
          <a:off x="2066925" y="74656950"/>
          <a:ext cx="581025" cy="9525"/>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114300</xdr:colOff>
      <xdr:row>671</xdr:row>
      <xdr:rowOff>66675</xdr:rowOff>
    </xdr:from>
    <xdr:to>
      <xdr:col>33</xdr:col>
      <xdr:colOff>0</xdr:colOff>
      <xdr:row>671</xdr:row>
      <xdr:rowOff>66675</xdr:rowOff>
    </xdr:to>
    <xdr:cxnSp macro="">
      <xdr:nvCxnSpPr>
        <xdr:cNvPr id="144" name="Straight Arrow Connector 143"/>
        <xdr:cNvCxnSpPr/>
      </xdr:nvCxnSpPr>
      <xdr:spPr>
        <a:xfrm>
          <a:off x="2647950" y="74656950"/>
          <a:ext cx="1752600"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9525</xdr:colOff>
      <xdr:row>671</xdr:row>
      <xdr:rowOff>76200</xdr:rowOff>
    </xdr:from>
    <xdr:to>
      <xdr:col>15</xdr:col>
      <xdr:colOff>95250</xdr:colOff>
      <xdr:row>671</xdr:row>
      <xdr:rowOff>76200</xdr:rowOff>
    </xdr:to>
    <xdr:cxnSp macro="">
      <xdr:nvCxnSpPr>
        <xdr:cNvPr id="147" name="Straight Arrow Connector 146"/>
        <xdr:cNvCxnSpPr/>
      </xdr:nvCxnSpPr>
      <xdr:spPr>
        <a:xfrm>
          <a:off x="1076325" y="74666475"/>
          <a:ext cx="1019175"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37</xdr:col>
      <xdr:colOff>47625</xdr:colOff>
      <xdr:row>655</xdr:row>
      <xdr:rowOff>9525</xdr:rowOff>
    </xdr:from>
    <xdr:to>
      <xdr:col>37</xdr:col>
      <xdr:colOff>66675</xdr:colOff>
      <xdr:row>670</xdr:row>
      <xdr:rowOff>142875</xdr:rowOff>
    </xdr:to>
    <xdr:cxnSp macro="">
      <xdr:nvCxnSpPr>
        <xdr:cNvPr id="149" name="Straight Arrow Connector 148"/>
        <xdr:cNvCxnSpPr/>
      </xdr:nvCxnSpPr>
      <xdr:spPr>
        <a:xfrm flipH="1">
          <a:off x="4981575" y="72009000"/>
          <a:ext cx="19050" cy="2562225"/>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33</xdr:col>
      <xdr:colOff>57150</xdr:colOff>
      <xdr:row>669</xdr:row>
      <xdr:rowOff>0</xdr:rowOff>
    </xdr:from>
    <xdr:to>
      <xdr:col>33</xdr:col>
      <xdr:colOff>57150</xdr:colOff>
      <xdr:row>671</xdr:row>
      <xdr:rowOff>9525</xdr:rowOff>
    </xdr:to>
    <xdr:cxnSp macro="">
      <xdr:nvCxnSpPr>
        <xdr:cNvPr id="152" name="Straight Arrow Connector 151"/>
        <xdr:cNvCxnSpPr/>
      </xdr:nvCxnSpPr>
      <xdr:spPr>
        <a:xfrm>
          <a:off x="4457700" y="74266425"/>
          <a:ext cx="0" cy="333375"/>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57150</xdr:colOff>
      <xdr:row>668</xdr:row>
      <xdr:rowOff>0</xdr:rowOff>
    </xdr:from>
    <xdr:to>
      <xdr:col>7</xdr:col>
      <xdr:colOff>57150</xdr:colOff>
      <xdr:row>671</xdr:row>
      <xdr:rowOff>19050</xdr:rowOff>
    </xdr:to>
    <xdr:cxnSp macro="">
      <xdr:nvCxnSpPr>
        <xdr:cNvPr id="154" name="Straight Arrow Connector 153"/>
        <xdr:cNvCxnSpPr/>
      </xdr:nvCxnSpPr>
      <xdr:spPr>
        <a:xfrm>
          <a:off x="990600" y="74104500"/>
          <a:ext cx="0" cy="504825"/>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33</xdr:col>
      <xdr:colOff>66675</xdr:colOff>
      <xdr:row>655</xdr:row>
      <xdr:rowOff>0</xdr:rowOff>
    </xdr:from>
    <xdr:to>
      <xdr:col>33</xdr:col>
      <xdr:colOff>95250</xdr:colOff>
      <xdr:row>669</xdr:row>
      <xdr:rowOff>0</xdr:rowOff>
    </xdr:to>
    <xdr:cxnSp macro="">
      <xdr:nvCxnSpPr>
        <xdr:cNvPr id="156" name="Straight Arrow Connector 155"/>
        <xdr:cNvCxnSpPr/>
      </xdr:nvCxnSpPr>
      <xdr:spPr>
        <a:xfrm flipH="1">
          <a:off x="4467225" y="71999475"/>
          <a:ext cx="28575" cy="226695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33131</xdr:colOff>
      <xdr:row>667</xdr:row>
      <xdr:rowOff>132521</xdr:rowOff>
    </xdr:from>
    <xdr:to>
      <xdr:col>11</xdr:col>
      <xdr:colOff>41413</xdr:colOff>
      <xdr:row>670</xdr:row>
      <xdr:rowOff>99391</xdr:rowOff>
    </xdr:to>
    <xdr:cxnSp macro="">
      <xdr:nvCxnSpPr>
        <xdr:cNvPr id="6" name="Straight Arrow Connector 5"/>
        <xdr:cNvCxnSpPr/>
      </xdr:nvCxnSpPr>
      <xdr:spPr>
        <a:xfrm>
          <a:off x="1490870" y="75239217"/>
          <a:ext cx="8282" cy="463826"/>
        </a:xfrm>
        <a:prstGeom prst="straightConnector1">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0</xdr:colOff>
      <xdr:row>667</xdr:row>
      <xdr:rowOff>57978</xdr:rowOff>
    </xdr:from>
    <xdr:to>
      <xdr:col>10</xdr:col>
      <xdr:colOff>72867</xdr:colOff>
      <xdr:row>670</xdr:row>
      <xdr:rowOff>35720</xdr:rowOff>
    </xdr:to>
    <xdr:cxnSp macro="">
      <xdr:nvCxnSpPr>
        <xdr:cNvPr id="143" name="Straight Arrow Connector 142"/>
        <xdr:cNvCxnSpPr>
          <a:endCxn id="94" idx="0"/>
        </xdr:cNvCxnSpPr>
      </xdr:nvCxnSpPr>
      <xdr:spPr>
        <a:xfrm>
          <a:off x="927652" y="75164674"/>
          <a:ext cx="470432" cy="474698"/>
        </a:xfrm>
        <a:prstGeom prst="straightConnector1">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124240</xdr:colOff>
      <xdr:row>665</xdr:row>
      <xdr:rowOff>1</xdr:rowOff>
    </xdr:from>
    <xdr:to>
      <xdr:col>7</xdr:col>
      <xdr:colOff>0</xdr:colOff>
      <xdr:row>667</xdr:row>
      <xdr:rowOff>82826</xdr:rowOff>
    </xdr:to>
    <xdr:cxnSp macro="">
      <xdr:nvCxnSpPr>
        <xdr:cNvPr id="92" name="Straight Connector 91"/>
        <xdr:cNvCxnSpPr/>
      </xdr:nvCxnSpPr>
      <xdr:spPr>
        <a:xfrm flipH="1" flipV="1">
          <a:off x="919370" y="74775392"/>
          <a:ext cx="8282" cy="41413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124239</xdr:colOff>
      <xdr:row>664</xdr:row>
      <xdr:rowOff>57978</xdr:rowOff>
    </xdr:from>
    <xdr:to>
      <xdr:col>23</xdr:col>
      <xdr:colOff>24848</xdr:colOff>
      <xdr:row>668</xdr:row>
      <xdr:rowOff>132523</xdr:rowOff>
    </xdr:to>
    <xdr:cxnSp macro="">
      <xdr:nvCxnSpPr>
        <xdr:cNvPr id="148" name="Straight Arrow Connector 147"/>
        <xdr:cNvCxnSpPr/>
      </xdr:nvCxnSpPr>
      <xdr:spPr>
        <a:xfrm>
          <a:off x="3039717" y="74667717"/>
          <a:ext cx="33131" cy="762002"/>
        </a:xfrm>
        <a:prstGeom prst="straightConnector1">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16567</xdr:colOff>
      <xdr:row>667</xdr:row>
      <xdr:rowOff>8283</xdr:rowOff>
    </xdr:from>
    <xdr:to>
      <xdr:col>24</xdr:col>
      <xdr:colOff>132521</xdr:colOff>
      <xdr:row>668</xdr:row>
      <xdr:rowOff>149088</xdr:rowOff>
    </xdr:to>
    <xdr:cxnSp macro="">
      <xdr:nvCxnSpPr>
        <xdr:cNvPr id="151" name="Straight Arrow Connector 150"/>
        <xdr:cNvCxnSpPr/>
      </xdr:nvCxnSpPr>
      <xdr:spPr>
        <a:xfrm flipH="1">
          <a:off x="3197089" y="75139826"/>
          <a:ext cx="115954" cy="306458"/>
        </a:xfrm>
        <a:prstGeom prst="straightConnector1">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99391</xdr:colOff>
      <xdr:row>656</xdr:row>
      <xdr:rowOff>99391</xdr:rowOff>
    </xdr:from>
    <xdr:to>
      <xdr:col>21</xdr:col>
      <xdr:colOff>57978</xdr:colOff>
      <xdr:row>656</xdr:row>
      <xdr:rowOff>115956</xdr:rowOff>
    </xdr:to>
    <xdr:cxnSp macro="">
      <xdr:nvCxnSpPr>
        <xdr:cNvPr id="155" name="Straight Arrow Connector 154"/>
        <xdr:cNvCxnSpPr/>
      </xdr:nvCxnSpPr>
      <xdr:spPr>
        <a:xfrm flipH="1" flipV="1">
          <a:off x="2617304" y="73383913"/>
          <a:ext cx="223631" cy="16565"/>
        </a:xfrm>
        <a:prstGeom prst="straightConnector1">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68790</xdr:colOff>
      <xdr:row>658</xdr:row>
      <xdr:rowOff>115957</xdr:rowOff>
    </xdr:from>
    <xdr:to>
      <xdr:col>21</xdr:col>
      <xdr:colOff>41413</xdr:colOff>
      <xdr:row>658</xdr:row>
      <xdr:rowOff>122367</xdr:rowOff>
    </xdr:to>
    <xdr:cxnSp macro="">
      <xdr:nvCxnSpPr>
        <xdr:cNvPr id="158" name="Straight Arrow Connector 157"/>
        <xdr:cNvCxnSpPr>
          <a:endCxn id="123" idx="5"/>
        </xdr:cNvCxnSpPr>
      </xdr:nvCxnSpPr>
      <xdr:spPr>
        <a:xfrm flipH="1">
          <a:off x="2586703" y="73731783"/>
          <a:ext cx="237667" cy="6410"/>
        </a:xfrm>
        <a:prstGeom prst="straightConnector1">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82826</xdr:colOff>
      <xdr:row>659</xdr:row>
      <xdr:rowOff>34766</xdr:rowOff>
    </xdr:from>
    <xdr:to>
      <xdr:col>17</xdr:col>
      <xdr:colOff>5953</xdr:colOff>
      <xdr:row>659</xdr:row>
      <xdr:rowOff>99392</xdr:rowOff>
    </xdr:to>
    <xdr:cxnSp macro="">
      <xdr:nvCxnSpPr>
        <xdr:cNvPr id="161" name="Straight Arrow Connector 160"/>
        <xdr:cNvCxnSpPr>
          <a:endCxn id="116" idx="2"/>
        </xdr:cNvCxnSpPr>
      </xdr:nvCxnSpPr>
      <xdr:spPr>
        <a:xfrm flipV="1">
          <a:off x="1938130" y="71082983"/>
          <a:ext cx="320693" cy="64626"/>
        </a:xfrm>
        <a:prstGeom prst="straightConnector1">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91109</xdr:colOff>
      <xdr:row>659</xdr:row>
      <xdr:rowOff>99392</xdr:rowOff>
    </xdr:from>
    <xdr:to>
      <xdr:col>16</xdr:col>
      <xdr:colOff>115956</xdr:colOff>
      <xdr:row>660</xdr:row>
      <xdr:rowOff>91108</xdr:rowOff>
    </xdr:to>
    <xdr:cxnSp macro="">
      <xdr:nvCxnSpPr>
        <xdr:cNvPr id="164" name="Straight Arrow Connector 163"/>
        <xdr:cNvCxnSpPr/>
      </xdr:nvCxnSpPr>
      <xdr:spPr>
        <a:xfrm>
          <a:off x="1946413" y="71147609"/>
          <a:ext cx="289891" cy="157369"/>
        </a:xfrm>
        <a:prstGeom prst="straightConnector1">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20052</xdr:colOff>
      <xdr:row>655</xdr:row>
      <xdr:rowOff>55145</xdr:rowOff>
    </xdr:from>
    <xdr:to>
      <xdr:col>17</xdr:col>
      <xdr:colOff>85223</xdr:colOff>
      <xdr:row>656</xdr:row>
      <xdr:rowOff>5013</xdr:rowOff>
    </xdr:to>
    <xdr:sp macro="" textlink="">
      <xdr:nvSpPr>
        <xdr:cNvPr id="153" name="Arc 152"/>
        <xdr:cNvSpPr/>
      </xdr:nvSpPr>
      <xdr:spPr>
        <a:xfrm>
          <a:off x="2321091" y="68935934"/>
          <a:ext cx="65171" cy="110290"/>
        </a:xfrm>
        <a:prstGeom prst="arc">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IN" sz="1100"/>
        </a:p>
      </xdr:txBody>
    </xdr:sp>
    <xdr:clientData/>
  </xdr:twoCellAnchor>
  <xdr:twoCellAnchor>
    <xdr:from>
      <xdr:col>19</xdr:col>
      <xdr:colOff>600</xdr:colOff>
      <xdr:row>655</xdr:row>
      <xdr:rowOff>48587</xdr:rowOff>
    </xdr:from>
    <xdr:to>
      <xdr:col>19</xdr:col>
      <xdr:colOff>92409</xdr:colOff>
      <xdr:row>656</xdr:row>
      <xdr:rowOff>48546</xdr:rowOff>
    </xdr:to>
    <xdr:sp macro="" textlink="">
      <xdr:nvSpPr>
        <xdr:cNvPr id="157" name="Arc 156"/>
        <xdr:cNvSpPr/>
      </xdr:nvSpPr>
      <xdr:spPr>
        <a:xfrm rot="17771427">
          <a:off x="2538064" y="68963662"/>
          <a:ext cx="160381" cy="91809"/>
        </a:xfrm>
        <a:prstGeom prst="arc">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IN" sz="1100"/>
        </a:p>
      </xdr:txBody>
    </xdr:sp>
    <xdr:clientData/>
  </xdr:twoCellAnchor>
  <xdr:twoCellAnchor>
    <xdr:from>
      <xdr:col>9</xdr:col>
      <xdr:colOff>9545</xdr:colOff>
      <xdr:row>669</xdr:row>
      <xdr:rowOff>18531</xdr:rowOff>
    </xdr:from>
    <xdr:to>
      <xdr:col>10</xdr:col>
      <xdr:colOff>34571</xdr:colOff>
      <xdr:row>669</xdr:row>
      <xdr:rowOff>113205</xdr:rowOff>
    </xdr:to>
    <xdr:sp macro="" textlink="">
      <xdr:nvSpPr>
        <xdr:cNvPr id="169" name="Arc 168"/>
        <xdr:cNvSpPr/>
      </xdr:nvSpPr>
      <xdr:spPr>
        <a:xfrm rot="12331141">
          <a:off x="1234188" y="72081960"/>
          <a:ext cx="161097" cy="94674"/>
        </a:xfrm>
        <a:prstGeom prst="arc">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IN" sz="1100"/>
        </a:p>
      </xdr:txBody>
    </xdr:sp>
    <xdr:clientData/>
  </xdr:twoCellAnchor>
  <xdr:twoCellAnchor>
    <xdr:from>
      <xdr:col>31</xdr:col>
      <xdr:colOff>85223</xdr:colOff>
      <xdr:row>668</xdr:row>
      <xdr:rowOff>130342</xdr:rowOff>
    </xdr:from>
    <xdr:to>
      <xdr:col>32</xdr:col>
      <xdr:colOff>41677</xdr:colOff>
      <xdr:row>669</xdr:row>
      <xdr:rowOff>130302</xdr:rowOff>
    </xdr:to>
    <xdr:sp macro="" textlink="">
      <xdr:nvSpPr>
        <xdr:cNvPr id="172" name="Arc 171"/>
        <xdr:cNvSpPr/>
      </xdr:nvSpPr>
      <xdr:spPr>
        <a:xfrm rot="7383449">
          <a:off x="4246950" y="71160970"/>
          <a:ext cx="160381" cy="91809"/>
        </a:xfrm>
        <a:prstGeom prst="arc">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IN" sz="1100"/>
        </a:p>
      </xdr:txBody>
    </xdr:sp>
    <xdr:clientData/>
  </xdr:twoCellAnchor>
  <xdr:twoCellAnchor>
    <xdr:from>
      <xdr:col>31</xdr:col>
      <xdr:colOff>51726</xdr:colOff>
      <xdr:row>669</xdr:row>
      <xdr:rowOff>155103</xdr:rowOff>
    </xdr:from>
    <xdr:to>
      <xdr:col>32</xdr:col>
      <xdr:colOff>78900</xdr:colOff>
      <xdr:row>670</xdr:row>
      <xdr:rowOff>84344</xdr:rowOff>
    </xdr:to>
    <xdr:sp macro="" textlink="">
      <xdr:nvSpPr>
        <xdr:cNvPr id="159" name="Arc 158"/>
        <xdr:cNvSpPr/>
      </xdr:nvSpPr>
      <xdr:spPr>
        <a:xfrm rot="2079640">
          <a:off x="4269940" y="72218532"/>
          <a:ext cx="163246" cy="92526"/>
        </a:xfrm>
        <a:prstGeom prst="arc">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IN" sz="1100"/>
        </a:p>
      </xdr:txBody>
    </xdr:sp>
    <xdr:clientData/>
  </xdr:twoCellAnchor>
  <xdr:twoCellAnchor>
    <xdr:from>
      <xdr:col>20</xdr:col>
      <xdr:colOff>10885</xdr:colOff>
      <xdr:row>670</xdr:row>
      <xdr:rowOff>32658</xdr:rowOff>
    </xdr:from>
    <xdr:to>
      <xdr:col>20</xdr:col>
      <xdr:colOff>61707</xdr:colOff>
      <xdr:row>670</xdr:row>
      <xdr:rowOff>78377</xdr:rowOff>
    </xdr:to>
    <xdr:sp macro="" textlink="">
      <xdr:nvSpPr>
        <xdr:cNvPr id="160" name="Oval 159"/>
        <xdr:cNvSpPr/>
      </xdr:nvSpPr>
      <xdr:spPr>
        <a:xfrm>
          <a:off x="2732314" y="72259372"/>
          <a:ext cx="50822" cy="45719"/>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22</xdr:col>
      <xdr:colOff>5444</xdr:colOff>
      <xdr:row>670</xdr:row>
      <xdr:rowOff>32658</xdr:rowOff>
    </xdr:from>
    <xdr:to>
      <xdr:col>22</xdr:col>
      <xdr:colOff>56266</xdr:colOff>
      <xdr:row>670</xdr:row>
      <xdr:rowOff>78377</xdr:rowOff>
    </xdr:to>
    <xdr:sp macro="" textlink="">
      <xdr:nvSpPr>
        <xdr:cNvPr id="162" name="Oval 161"/>
        <xdr:cNvSpPr/>
      </xdr:nvSpPr>
      <xdr:spPr>
        <a:xfrm>
          <a:off x="2999015" y="72259372"/>
          <a:ext cx="50822" cy="45719"/>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24</xdr:col>
      <xdr:colOff>21772</xdr:colOff>
      <xdr:row>670</xdr:row>
      <xdr:rowOff>38100</xdr:rowOff>
    </xdr:from>
    <xdr:to>
      <xdr:col>24</xdr:col>
      <xdr:colOff>72594</xdr:colOff>
      <xdr:row>670</xdr:row>
      <xdr:rowOff>83819</xdr:rowOff>
    </xdr:to>
    <xdr:sp macro="" textlink="">
      <xdr:nvSpPr>
        <xdr:cNvPr id="163" name="Oval 162"/>
        <xdr:cNvSpPr/>
      </xdr:nvSpPr>
      <xdr:spPr>
        <a:xfrm>
          <a:off x="3287486" y="72264814"/>
          <a:ext cx="50822" cy="45719"/>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26</xdr:col>
      <xdr:colOff>16329</xdr:colOff>
      <xdr:row>670</xdr:row>
      <xdr:rowOff>32658</xdr:rowOff>
    </xdr:from>
    <xdr:to>
      <xdr:col>26</xdr:col>
      <xdr:colOff>67151</xdr:colOff>
      <xdr:row>670</xdr:row>
      <xdr:rowOff>78377</xdr:rowOff>
    </xdr:to>
    <xdr:sp macro="" textlink="">
      <xdr:nvSpPr>
        <xdr:cNvPr id="165" name="Oval 164"/>
        <xdr:cNvSpPr/>
      </xdr:nvSpPr>
      <xdr:spPr>
        <a:xfrm>
          <a:off x="3554186" y="72259372"/>
          <a:ext cx="50822" cy="45719"/>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27</xdr:col>
      <xdr:colOff>103413</xdr:colOff>
      <xdr:row>670</xdr:row>
      <xdr:rowOff>32658</xdr:rowOff>
    </xdr:from>
    <xdr:to>
      <xdr:col>28</xdr:col>
      <xdr:colOff>18164</xdr:colOff>
      <xdr:row>670</xdr:row>
      <xdr:rowOff>78377</xdr:rowOff>
    </xdr:to>
    <xdr:sp macro="" textlink="">
      <xdr:nvSpPr>
        <xdr:cNvPr id="166" name="Oval 165"/>
        <xdr:cNvSpPr/>
      </xdr:nvSpPr>
      <xdr:spPr>
        <a:xfrm>
          <a:off x="3777342" y="72259372"/>
          <a:ext cx="50822" cy="45719"/>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29</xdr:col>
      <xdr:colOff>48986</xdr:colOff>
      <xdr:row>670</xdr:row>
      <xdr:rowOff>38101</xdr:rowOff>
    </xdr:from>
    <xdr:to>
      <xdr:col>29</xdr:col>
      <xdr:colOff>99808</xdr:colOff>
      <xdr:row>670</xdr:row>
      <xdr:rowOff>83820</xdr:rowOff>
    </xdr:to>
    <xdr:sp macro="" textlink="">
      <xdr:nvSpPr>
        <xdr:cNvPr id="167" name="Oval 166"/>
        <xdr:cNvSpPr/>
      </xdr:nvSpPr>
      <xdr:spPr>
        <a:xfrm>
          <a:off x="3995057" y="72264815"/>
          <a:ext cx="50822" cy="45719"/>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31</xdr:col>
      <xdr:colOff>43542</xdr:colOff>
      <xdr:row>670</xdr:row>
      <xdr:rowOff>38101</xdr:rowOff>
    </xdr:from>
    <xdr:to>
      <xdr:col>31</xdr:col>
      <xdr:colOff>94364</xdr:colOff>
      <xdr:row>670</xdr:row>
      <xdr:rowOff>83820</xdr:rowOff>
    </xdr:to>
    <xdr:sp macro="" textlink="">
      <xdr:nvSpPr>
        <xdr:cNvPr id="168" name="Oval 167"/>
        <xdr:cNvSpPr/>
      </xdr:nvSpPr>
      <xdr:spPr>
        <a:xfrm>
          <a:off x="4261756" y="72264815"/>
          <a:ext cx="50822" cy="45719"/>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8</xdr:col>
      <xdr:colOff>127888</xdr:colOff>
      <xdr:row>670</xdr:row>
      <xdr:rowOff>13626</xdr:rowOff>
    </xdr:from>
    <xdr:to>
      <xdr:col>9</xdr:col>
      <xdr:colOff>84342</xdr:colOff>
      <xdr:row>671</xdr:row>
      <xdr:rowOff>13586</xdr:rowOff>
    </xdr:to>
    <xdr:sp macro="" textlink="">
      <xdr:nvSpPr>
        <xdr:cNvPr id="173" name="Arc 172"/>
        <xdr:cNvSpPr/>
      </xdr:nvSpPr>
      <xdr:spPr>
        <a:xfrm rot="16200000">
          <a:off x="1181099" y="72275700"/>
          <a:ext cx="163246" cy="92526"/>
        </a:xfrm>
        <a:prstGeom prst="arc">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IN" sz="1100"/>
        </a:p>
      </xdr:txBody>
    </xdr:sp>
    <xdr:clientData/>
  </xdr:twoCellAnchor>
  <xdr:twoCellAnchor>
    <xdr:from>
      <xdr:col>15</xdr:col>
      <xdr:colOff>5443</xdr:colOff>
      <xdr:row>668</xdr:row>
      <xdr:rowOff>87086</xdr:rowOff>
    </xdr:from>
    <xdr:to>
      <xdr:col>15</xdr:col>
      <xdr:colOff>51162</xdr:colOff>
      <xdr:row>668</xdr:row>
      <xdr:rowOff>132805</xdr:rowOff>
    </xdr:to>
    <xdr:sp macro="" textlink="">
      <xdr:nvSpPr>
        <xdr:cNvPr id="174" name="Oval 173"/>
        <xdr:cNvSpPr/>
      </xdr:nvSpPr>
      <xdr:spPr>
        <a:xfrm>
          <a:off x="2046514" y="71987229"/>
          <a:ext cx="45719" cy="45719"/>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12</xdr:col>
      <xdr:colOff>0</xdr:colOff>
      <xdr:row>668</xdr:row>
      <xdr:rowOff>152400</xdr:rowOff>
    </xdr:from>
    <xdr:to>
      <xdr:col>12</xdr:col>
      <xdr:colOff>45719</xdr:colOff>
      <xdr:row>669</xdr:row>
      <xdr:rowOff>34833</xdr:rowOff>
    </xdr:to>
    <xdr:sp macro="" textlink="">
      <xdr:nvSpPr>
        <xdr:cNvPr id="177" name="Oval 176"/>
        <xdr:cNvSpPr/>
      </xdr:nvSpPr>
      <xdr:spPr>
        <a:xfrm>
          <a:off x="1632857" y="72052543"/>
          <a:ext cx="45719" cy="45719"/>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10</xdr:col>
      <xdr:colOff>70758</xdr:colOff>
      <xdr:row>669</xdr:row>
      <xdr:rowOff>16328</xdr:rowOff>
    </xdr:from>
    <xdr:to>
      <xdr:col>10</xdr:col>
      <xdr:colOff>116477</xdr:colOff>
      <xdr:row>669</xdr:row>
      <xdr:rowOff>62047</xdr:rowOff>
    </xdr:to>
    <xdr:sp macro="" textlink="">
      <xdr:nvSpPr>
        <xdr:cNvPr id="178" name="Oval 177"/>
        <xdr:cNvSpPr/>
      </xdr:nvSpPr>
      <xdr:spPr>
        <a:xfrm>
          <a:off x="1431472" y="72079757"/>
          <a:ext cx="45719" cy="45719"/>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13</xdr:col>
      <xdr:colOff>65314</xdr:colOff>
      <xdr:row>668</xdr:row>
      <xdr:rowOff>125185</xdr:rowOff>
    </xdr:from>
    <xdr:to>
      <xdr:col>13</xdr:col>
      <xdr:colOff>111033</xdr:colOff>
      <xdr:row>669</xdr:row>
      <xdr:rowOff>7618</xdr:rowOff>
    </xdr:to>
    <xdr:sp macro="" textlink="">
      <xdr:nvSpPr>
        <xdr:cNvPr id="179" name="Oval 178"/>
        <xdr:cNvSpPr/>
      </xdr:nvSpPr>
      <xdr:spPr>
        <a:xfrm>
          <a:off x="1834243" y="72025328"/>
          <a:ext cx="45719" cy="45719"/>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15</xdr:col>
      <xdr:colOff>73498</xdr:colOff>
      <xdr:row>670</xdr:row>
      <xdr:rowOff>2703</xdr:rowOff>
    </xdr:from>
    <xdr:to>
      <xdr:col>16</xdr:col>
      <xdr:colOff>100672</xdr:colOff>
      <xdr:row>670</xdr:row>
      <xdr:rowOff>95229</xdr:rowOff>
    </xdr:to>
    <xdr:sp macro="" textlink="">
      <xdr:nvSpPr>
        <xdr:cNvPr id="181" name="Arc 180"/>
        <xdr:cNvSpPr/>
      </xdr:nvSpPr>
      <xdr:spPr>
        <a:xfrm rot="13114931">
          <a:off x="2114569" y="72229417"/>
          <a:ext cx="163246" cy="92526"/>
        </a:xfrm>
        <a:prstGeom prst="arc">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IN" sz="1100"/>
        </a:p>
      </xdr:txBody>
    </xdr:sp>
    <xdr:clientData/>
  </xdr:twoCellAnchor>
  <xdr:twoCellAnchor>
    <xdr:from>
      <xdr:col>18</xdr:col>
      <xdr:colOff>89789</xdr:colOff>
      <xdr:row>669</xdr:row>
      <xdr:rowOff>89824</xdr:rowOff>
    </xdr:from>
    <xdr:to>
      <xdr:col>19</xdr:col>
      <xdr:colOff>46244</xdr:colOff>
      <xdr:row>670</xdr:row>
      <xdr:rowOff>89785</xdr:rowOff>
    </xdr:to>
    <xdr:sp macro="" textlink="">
      <xdr:nvSpPr>
        <xdr:cNvPr id="182" name="Arc 181"/>
        <xdr:cNvSpPr/>
      </xdr:nvSpPr>
      <xdr:spPr>
        <a:xfrm rot="6261552">
          <a:off x="2503715" y="72188613"/>
          <a:ext cx="163246" cy="92526"/>
        </a:xfrm>
        <a:prstGeom prst="arc">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IN" sz="1100"/>
        </a:p>
      </xdr:txBody>
    </xdr:sp>
    <xdr:clientData/>
  </xdr:twoCellAnchor>
  <xdr:twoCellAnchor>
    <xdr:from>
      <xdr:col>34</xdr:col>
      <xdr:colOff>9525</xdr:colOff>
      <xdr:row>7</xdr:row>
      <xdr:rowOff>9525</xdr:rowOff>
    </xdr:from>
    <xdr:to>
      <xdr:col>35</xdr:col>
      <xdr:colOff>19050</xdr:colOff>
      <xdr:row>14</xdr:row>
      <xdr:rowOff>0</xdr:rowOff>
    </xdr:to>
    <xdr:cxnSp macro="">
      <xdr:nvCxnSpPr>
        <xdr:cNvPr id="9" name="Straight Connector 8"/>
        <xdr:cNvCxnSpPr/>
      </xdr:nvCxnSpPr>
      <xdr:spPr>
        <a:xfrm>
          <a:off x="5191125" y="1295400"/>
          <a:ext cx="161925" cy="1219200"/>
        </a:xfrm>
        <a:prstGeom prst="line">
          <a:avLst/>
        </a:prstGeom>
        <a:ln w="3175"/>
      </xdr:spPr>
      <xdr:style>
        <a:lnRef idx="1">
          <a:schemeClr val="dk1"/>
        </a:lnRef>
        <a:fillRef idx="0">
          <a:schemeClr val="dk1"/>
        </a:fillRef>
        <a:effectRef idx="0">
          <a:schemeClr val="dk1"/>
        </a:effectRef>
        <a:fontRef idx="minor">
          <a:schemeClr val="tx1"/>
        </a:fontRef>
      </xdr:style>
    </xdr:cxnSp>
    <xdr:clientData/>
  </xdr:twoCellAnchor>
  <xdr:twoCellAnchor>
    <xdr:from>
      <xdr:col>39</xdr:col>
      <xdr:colOff>36596</xdr:colOff>
      <xdr:row>7</xdr:row>
      <xdr:rowOff>0</xdr:rowOff>
    </xdr:from>
    <xdr:to>
      <xdr:col>39</xdr:col>
      <xdr:colOff>36596</xdr:colOff>
      <xdr:row>14</xdr:row>
      <xdr:rowOff>31275</xdr:rowOff>
    </xdr:to>
    <xdr:cxnSp macro="">
      <xdr:nvCxnSpPr>
        <xdr:cNvPr id="70" name="Straight Arrow Connector 69"/>
        <xdr:cNvCxnSpPr/>
      </xdr:nvCxnSpPr>
      <xdr:spPr>
        <a:xfrm>
          <a:off x="5980196" y="1285875"/>
          <a:ext cx="0" cy="1260000"/>
        </a:xfrm>
        <a:prstGeom prst="straightConnector1">
          <a:avLst/>
        </a:prstGeom>
        <a:ln w="3175">
          <a:headEnd type="triangle" w="med" len="sm"/>
          <a:tailEnd type="triangle" w="med" len="sm"/>
        </a:ln>
      </xdr:spPr>
      <xdr:style>
        <a:lnRef idx="1">
          <a:schemeClr val="dk1"/>
        </a:lnRef>
        <a:fillRef idx="0">
          <a:schemeClr val="dk1"/>
        </a:fillRef>
        <a:effectRef idx="0">
          <a:schemeClr val="dk1"/>
        </a:effectRef>
        <a:fontRef idx="minor">
          <a:schemeClr val="tx1"/>
        </a:fontRef>
      </xdr:style>
    </xdr:cxnSp>
    <xdr:clientData/>
  </xdr:twoCellAnchor>
  <xdr:twoCellAnchor>
    <xdr:from>
      <xdr:col>39</xdr:col>
      <xdr:colOff>114300</xdr:colOff>
      <xdr:row>14</xdr:row>
      <xdr:rowOff>0</xdr:rowOff>
    </xdr:from>
    <xdr:to>
      <xdr:col>39</xdr:col>
      <xdr:colOff>114300</xdr:colOff>
      <xdr:row>14</xdr:row>
      <xdr:rowOff>180000</xdr:rowOff>
    </xdr:to>
    <xdr:cxnSp macro="">
      <xdr:nvCxnSpPr>
        <xdr:cNvPr id="170" name="Straight Arrow Connector 169"/>
        <xdr:cNvCxnSpPr/>
      </xdr:nvCxnSpPr>
      <xdr:spPr>
        <a:xfrm>
          <a:off x="6057900" y="2705100"/>
          <a:ext cx="0" cy="180000"/>
        </a:xfrm>
        <a:prstGeom prst="straightConnector1">
          <a:avLst/>
        </a:prstGeom>
        <a:ln w="3175">
          <a:headEnd type="triangle" w="med" len="sm"/>
          <a:tailEnd type="triangle" w="med" len="sm"/>
        </a:ln>
      </xdr:spPr>
      <xdr:style>
        <a:lnRef idx="1">
          <a:schemeClr val="dk1"/>
        </a:lnRef>
        <a:fillRef idx="0">
          <a:schemeClr val="dk1"/>
        </a:fillRef>
        <a:effectRef idx="0">
          <a:schemeClr val="dk1"/>
        </a:effectRef>
        <a:fontRef idx="minor">
          <a:schemeClr val="tx1"/>
        </a:fontRef>
      </xdr:style>
    </xdr:cxnSp>
    <xdr:clientData/>
  </xdr:twoCellAnchor>
  <xdr:twoCellAnchor>
    <xdr:from>
      <xdr:col>30</xdr:col>
      <xdr:colOff>28327</xdr:colOff>
      <xdr:row>13</xdr:row>
      <xdr:rowOff>187655</xdr:rowOff>
    </xdr:from>
    <xdr:to>
      <xdr:col>32</xdr:col>
      <xdr:colOff>119527</xdr:colOff>
      <xdr:row>13</xdr:row>
      <xdr:rowOff>187655</xdr:rowOff>
    </xdr:to>
    <xdr:cxnSp macro="">
      <xdr:nvCxnSpPr>
        <xdr:cNvPr id="171" name="Straight Arrow Connector 170"/>
        <xdr:cNvCxnSpPr/>
      </xdr:nvCxnSpPr>
      <xdr:spPr>
        <a:xfrm>
          <a:off x="4295527" y="1542926"/>
          <a:ext cx="396000" cy="0"/>
        </a:xfrm>
        <a:prstGeom prst="straightConnector1">
          <a:avLst/>
        </a:prstGeom>
        <a:ln w="3175">
          <a:headEnd type="triangle" w="med" len="sm"/>
          <a:tailEnd type="triangle" w="med" len="sm"/>
        </a:ln>
      </xdr:spPr>
      <xdr:style>
        <a:lnRef idx="1">
          <a:schemeClr val="dk1"/>
        </a:lnRef>
        <a:fillRef idx="0">
          <a:schemeClr val="dk1"/>
        </a:fillRef>
        <a:effectRef idx="0">
          <a:schemeClr val="dk1"/>
        </a:effectRef>
        <a:fontRef idx="minor">
          <a:schemeClr val="tx1"/>
        </a:fontRef>
      </xdr:style>
    </xdr:cxnSp>
    <xdr:clientData/>
  </xdr:twoCellAnchor>
  <xdr:twoCellAnchor>
    <xdr:from>
      <xdr:col>30</xdr:col>
      <xdr:colOff>0</xdr:colOff>
      <xdr:row>14</xdr:row>
      <xdr:rowOff>4646</xdr:rowOff>
    </xdr:from>
    <xdr:to>
      <xdr:col>32</xdr:col>
      <xdr:colOff>153220</xdr:colOff>
      <xdr:row>14</xdr:row>
      <xdr:rowOff>46463</xdr:rowOff>
    </xdr:to>
    <xdr:cxnSp macro="">
      <xdr:nvCxnSpPr>
        <xdr:cNvPr id="90" name="Straight Connector 89"/>
        <xdr:cNvCxnSpPr/>
      </xdr:nvCxnSpPr>
      <xdr:spPr>
        <a:xfrm flipH="1">
          <a:off x="4293220" y="1528646"/>
          <a:ext cx="459878" cy="41817"/>
        </a:xfrm>
        <a:prstGeom prst="line">
          <a:avLst/>
        </a:prstGeom>
        <a:ln w="3175"/>
      </xdr:spPr>
      <xdr:style>
        <a:lnRef idx="1">
          <a:schemeClr val="dk1"/>
        </a:lnRef>
        <a:fillRef idx="0">
          <a:schemeClr val="dk1"/>
        </a:fillRef>
        <a:effectRef idx="0">
          <a:schemeClr val="dk1"/>
        </a:effectRef>
        <a:fontRef idx="minor">
          <a:schemeClr val="tx1"/>
        </a:fontRef>
      </xdr:style>
    </xdr:cxnSp>
    <xdr:clientData/>
  </xdr:twoCellAnchor>
  <xdr:twoCellAnchor>
    <xdr:from>
      <xdr:col>35</xdr:col>
      <xdr:colOff>4646</xdr:colOff>
      <xdr:row>14</xdr:row>
      <xdr:rowOff>4646</xdr:rowOff>
    </xdr:from>
    <xdr:to>
      <xdr:col>39</xdr:col>
      <xdr:colOff>4646</xdr:colOff>
      <xdr:row>14</xdr:row>
      <xdr:rowOff>58646</xdr:rowOff>
    </xdr:to>
    <xdr:cxnSp macro="">
      <xdr:nvCxnSpPr>
        <xdr:cNvPr id="97" name="Straight Connector 96"/>
        <xdr:cNvCxnSpPr/>
      </xdr:nvCxnSpPr>
      <xdr:spPr>
        <a:xfrm>
          <a:off x="5064512" y="1528646"/>
          <a:ext cx="613317" cy="54000"/>
        </a:xfrm>
        <a:prstGeom prst="line">
          <a:avLst/>
        </a:prstGeom>
        <a:ln w="3175"/>
      </xdr:spPr>
      <xdr:style>
        <a:lnRef idx="1">
          <a:schemeClr val="dk1"/>
        </a:lnRef>
        <a:fillRef idx="0">
          <a:schemeClr val="dk1"/>
        </a:fillRef>
        <a:effectRef idx="0">
          <a:schemeClr val="dk1"/>
        </a:effectRef>
        <a:fontRef idx="minor">
          <a:schemeClr val="tx1"/>
        </a:fontRef>
      </xdr:style>
    </xdr:cxnSp>
    <xdr:clientData/>
  </xdr:twoCellAnchor>
  <xdr:twoCellAnchor>
    <xdr:from>
      <xdr:col>30</xdr:col>
      <xdr:colOff>4646</xdr:colOff>
      <xdr:row>14</xdr:row>
      <xdr:rowOff>46463</xdr:rowOff>
    </xdr:from>
    <xdr:to>
      <xdr:col>30</xdr:col>
      <xdr:colOff>4646</xdr:colOff>
      <xdr:row>15</xdr:row>
      <xdr:rowOff>9293</xdr:rowOff>
    </xdr:to>
    <xdr:cxnSp macro="">
      <xdr:nvCxnSpPr>
        <xdr:cNvPr id="108" name="Straight Connector 107"/>
        <xdr:cNvCxnSpPr/>
      </xdr:nvCxnSpPr>
      <xdr:spPr>
        <a:xfrm>
          <a:off x="4297866" y="1570463"/>
          <a:ext cx="0" cy="153330"/>
        </a:xfrm>
        <a:prstGeom prst="line">
          <a:avLst/>
        </a:prstGeom>
        <a:ln w="3175"/>
      </xdr:spPr>
      <xdr:style>
        <a:lnRef idx="1">
          <a:schemeClr val="dk1"/>
        </a:lnRef>
        <a:fillRef idx="0">
          <a:schemeClr val="dk1"/>
        </a:fillRef>
        <a:effectRef idx="0">
          <a:schemeClr val="dk1"/>
        </a:effectRef>
        <a:fontRef idx="minor">
          <a:schemeClr val="tx1"/>
        </a:fontRef>
      </xdr:style>
    </xdr:cxnSp>
    <xdr:clientData/>
  </xdr:twoCellAnchor>
  <xdr:twoCellAnchor>
    <xdr:from>
      <xdr:col>38</xdr:col>
      <xdr:colOff>152400</xdr:colOff>
      <xdr:row>14</xdr:row>
      <xdr:rowOff>59473</xdr:rowOff>
    </xdr:from>
    <xdr:to>
      <xdr:col>38</xdr:col>
      <xdr:colOff>152400</xdr:colOff>
      <xdr:row>15</xdr:row>
      <xdr:rowOff>12973</xdr:rowOff>
    </xdr:to>
    <xdr:cxnSp macro="">
      <xdr:nvCxnSpPr>
        <xdr:cNvPr id="180" name="Straight Connector 179"/>
        <xdr:cNvCxnSpPr/>
      </xdr:nvCxnSpPr>
      <xdr:spPr>
        <a:xfrm>
          <a:off x="5672254" y="1583473"/>
          <a:ext cx="0" cy="144000"/>
        </a:xfrm>
        <a:prstGeom prst="line">
          <a:avLst/>
        </a:prstGeom>
        <a:ln w="3175"/>
      </xdr:spPr>
      <xdr:style>
        <a:lnRef idx="1">
          <a:schemeClr val="dk1"/>
        </a:lnRef>
        <a:fillRef idx="0">
          <a:schemeClr val="dk1"/>
        </a:fillRef>
        <a:effectRef idx="0">
          <a:schemeClr val="dk1"/>
        </a:effectRef>
        <a:fontRef idx="minor">
          <a:schemeClr val="tx1"/>
        </a:fontRef>
      </xdr:style>
    </xdr:cxnSp>
    <xdr:clientData/>
  </xdr:twoCellAnchor>
  <xdr:twoCellAnchor>
    <xdr:from>
      <xdr:col>30</xdr:col>
      <xdr:colOff>13939</xdr:colOff>
      <xdr:row>15</xdr:row>
      <xdr:rowOff>4646</xdr:rowOff>
    </xdr:from>
    <xdr:to>
      <xdr:col>39</xdr:col>
      <xdr:colOff>4646</xdr:colOff>
      <xdr:row>15</xdr:row>
      <xdr:rowOff>4646</xdr:rowOff>
    </xdr:to>
    <xdr:cxnSp macro="">
      <xdr:nvCxnSpPr>
        <xdr:cNvPr id="110" name="Straight Connector 109"/>
        <xdr:cNvCxnSpPr/>
      </xdr:nvCxnSpPr>
      <xdr:spPr>
        <a:xfrm>
          <a:off x="4307159" y="1719146"/>
          <a:ext cx="1370670" cy="0"/>
        </a:xfrm>
        <a:prstGeom prst="line">
          <a:avLst/>
        </a:prstGeom>
        <a:ln w="3175"/>
      </xdr:spPr>
      <xdr:style>
        <a:lnRef idx="1">
          <a:schemeClr val="dk1"/>
        </a:lnRef>
        <a:fillRef idx="0">
          <a:schemeClr val="dk1"/>
        </a:fillRef>
        <a:effectRef idx="0">
          <a:schemeClr val="dk1"/>
        </a:effectRef>
        <a:fontRef idx="minor">
          <a:schemeClr val="tx1"/>
        </a:fontRef>
      </xdr:style>
    </xdr:cxnSp>
    <xdr:clientData/>
  </xdr:twoCellAnchor>
  <xdr:twoCellAnchor>
    <xdr:from>
      <xdr:col>35</xdr:col>
      <xdr:colOff>4083</xdr:colOff>
      <xdr:row>13</xdr:row>
      <xdr:rowOff>193098</xdr:rowOff>
    </xdr:from>
    <xdr:to>
      <xdr:col>39</xdr:col>
      <xdr:colOff>6483</xdr:colOff>
      <xdr:row>13</xdr:row>
      <xdr:rowOff>193098</xdr:rowOff>
    </xdr:to>
    <xdr:cxnSp macro="">
      <xdr:nvCxnSpPr>
        <xdr:cNvPr id="183" name="Straight Arrow Connector 182"/>
        <xdr:cNvCxnSpPr/>
      </xdr:nvCxnSpPr>
      <xdr:spPr>
        <a:xfrm>
          <a:off x="5033283" y="1548369"/>
          <a:ext cx="612000" cy="0"/>
        </a:xfrm>
        <a:prstGeom prst="straightConnector1">
          <a:avLst/>
        </a:prstGeom>
        <a:ln w="3175">
          <a:headEnd type="triangle" w="med" len="sm"/>
          <a:tailEnd type="triangle" w="med" len="sm"/>
        </a:ln>
      </xdr:spPr>
      <xdr:style>
        <a:lnRef idx="1">
          <a:schemeClr val="dk1"/>
        </a:lnRef>
        <a:fillRef idx="0">
          <a:schemeClr val="dk1"/>
        </a:fillRef>
        <a:effectRef idx="0">
          <a:schemeClr val="dk1"/>
        </a:effectRef>
        <a:fontRef idx="minor">
          <a:schemeClr val="tx1"/>
        </a:fontRef>
      </xdr:style>
    </xdr:cxnSp>
    <xdr:clientData/>
  </xdr:twoCellAnchor>
  <xdr:twoCellAnchor>
    <xdr:from>
      <xdr:col>32</xdr:col>
      <xdr:colOff>133103</xdr:colOff>
      <xdr:row>6</xdr:row>
      <xdr:rowOff>95372</xdr:rowOff>
    </xdr:from>
    <xdr:to>
      <xdr:col>34</xdr:col>
      <xdr:colOff>8303</xdr:colOff>
      <xdr:row>6</xdr:row>
      <xdr:rowOff>95372</xdr:rowOff>
    </xdr:to>
    <xdr:cxnSp macro="">
      <xdr:nvCxnSpPr>
        <xdr:cNvPr id="185" name="Straight Arrow Connector 184"/>
        <xdr:cNvCxnSpPr/>
      </xdr:nvCxnSpPr>
      <xdr:spPr>
        <a:xfrm>
          <a:off x="5009903" y="1228847"/>
          <a:ext cx="180000" cy="0"/>
        </a:xfrm>
        <a:prstGeom prst="straightConnector1">
          <a:avLst/>
        </a:prstGeom>
        <a:ln w="3175">
          <a:headEnd type="triangle" w="med" len="sm"/>
          <a:tailEnd type="triangle" w="med" len="sm"/>
        </a:ln>
      </xdr:spPr>
      <xdr:style>
        <a:lnRef idx="1">
          <a:schemeClr val="dk1"/>
        </a:lnRef>
        <a:fillRef idx="0">
          <a:schemeClr val="dk1"/>
        </a:fillRef>
        <a:effectRef idx="0">
          <a:schemeClr val="dk1"/>
        </a:effectRef>
        <a:fontRef idx="minor">
          <a:schemeClr val="tx1"/>
        </a:fontRef>
      </xdr:style>
    </xdr:cxnSp>
    <xdr:clientData/>
  </xdr:twoCellAnchor>
  <xdr:twoCellAnchor>
    <xdr:from>
      <xdr:col>33</xdr:col>
      <xdr:colOff>7840</xdr:colOff>
      <xdr:row>13</xdr:row>
      <xdr:rowOff>188616</xdr:rowOff>
    </xdr:from>
    <xdr:to>
      <xdr:col>34</xdr:col>
      <xdr:colOff>146805</xdr:colOff>
      <xdr:row>13</xdr:row>
      <xdr:rowOff>188616</xdr:rowOff>
    </xdr:to>
    <xdr:cxnSp macro="">
      <xdr:nvCxnSpPr>
        <xdr:cNvPr id="188" name="Straight Arrow Connector 187"/>
        <xdr:cNvCxnSpPr/>
      </xdr:nvCxnSpPr>
      <xdr:spPr>
        <a:xfrm>
          <a:off x="4712221" y="1580235"/>
          <a:ext cx="290720" cy="0"/>
        </a:xfrm>
        <a:prstGeom prst="straightConnector1">
          <a:avLst/>
        </a:prstGeom>
        <a:ln w="3175">
          <a:headEnd type="triangle" w="med" len="sm"/>
          <a:tailEnd type="triangle" w="med" len="sm"/>
        </a:ln>
      </xdr:spPr>
      <xdr:style>
        <a:lnRef idx="1">
          <a:schemeClr val="dk1"/>
        </a:lnRef>
        <a:fillRef idx="0">
          <a:schemeClr val="dk1"/>
        </a:fillRef>
        <a:effectRef idx="0">
          <a:schemeClr val="dk1"/>
        </a:effectRef>
        <a:fontRef idx="minor">
          <a:schemeClr val="tx1"/>
        </a:fontRef>
      </xdr:style>
    </xdr:cxnSp>
    <xdr:clientData/>
  </xdr:twoCellAnchor>
  <xdr:twoCellAnchor>
    <xdr:from>
      <xdr:col>29</xdr:col>
      <xdr:colOff>150392</xdr:colOff>
      <xdr:row>15</xdr:row>
      <xdr:rowOff>38931</xdr:rowOff>
    </xdr:from>
    <xdr:to>
      <xdr:col>39</xdr:col>
      <xdr:colOff>14179</xdr:colOff>
      <xdr:row>15</xdr:row>
      <xdr:rowOff>38931</xdr:rowOff>
    </xdr:to>
    <xdr:cxnSp macro="">
      <xdr:nvCxnSpPr>
        <xdr:cNvPr id="189" name="Straight Arrow Connector 188"/>
        <xdr:cNvCxnSpPr/>
      </xdr:nvCxnSpPr>
      <xdr:spPr>
        <a:xfrm>
          <a:off x="4308966" y="1854761"/>
          <a:ext cx="1404000" cy="0"/>
        </a:xfrm>
        <a:prstGeom prst="straightConnector1">
          <a:avLst/>
        </a:prstGeom>
        <a:ln w="3175">
          <a:headEnd type="triangle" w="med" len="sm"/>
          <a:tailEnd type="triangle" w="med" len="sm"/>
        </a:ln>
      </xdr:spPr>
      <xdr:style>
        <a:lnRef idx="1">
          <a:schemeClr val="dk1"/>
        </a:lnRef>
        <a:fillRef idx="0">
          <a:schemeClr val="dk1"/>
        </a:fillRef>
        <a:effectRef idx="0">
          <a:schemeClr val="dk1"/>
        </a:effectRef>
        <a:fontRef idx="minor">
          <a:schemeClr val="tx1"/>
        </a:fontRef>
      </xdr:style>
    </xdr:cxnSp>
    <xdr:clientData/>
  </xdr:twoCellAnchor>
  <xdr:twoCellAnchor>
    <xdr:from>
      <xdr:col>32</xdr:col>
      <xdr:colOff>95250</xdr:colOff>
      <xdr:row>460</xdr:row>
      <xdr:rowOff>19050</xdr:rowOff>
    </xdr:from>
    <xdr:to>
      <xdr:col>39</xdr:col>
      <xdr:colOff>95250</xdr:colOff>
      <xdr:row>462</xdr:row>
      <xdr:rowOff>0</xdr:rowOff>
    </xdr:to>
    <xdr:grpSp>
      <xdr:nvGrpSpPr>
        <xdr:cNvPr id="186" name="Group 24"/>
        <xdr:cNvGrpSpPr>
          <a:grpSpLocks/>
        </xdr:cNvGrpSpPr>
      </xdr:nvGrpSpPr>
      <xdr:grpSpPr bwMode="auto">
        <a:xfrm>
          <a:off x="4972050" y="74180700"/>
          <a:ext cx="1066800" cy="381000"/>
          <a:chOff x="300" y="3523"/>
          <a:chExt cx="98" cy="85"/>
        </a:xfrm>
      </xdr:grpSpPr>
      <xdr:sp macro="" textlink="">
        <xdr:nvSpPr>
          <xdr:cNvPr id="190" name="Line 25"/>
          <xdr:cNvSpPr>
            <a:spLocks noChangeShapeType="1"/>
          </xdr:cNvSpPr>
        </xdr:nvSpPr>
        <xdr:spPr bwMode="auto">
          <a:xfrm flipV="1">
            <a:off x="300" y="3523"/>
            <a:ext cx="0" cy="82"/>
          </a:xfrm>
          <a:prstGeom prst="line">
            <a:avLst/>
          </a:prstGeom>
          <a:noFill/>
          <a:ln w="9525">
            <a:solidFill>
              <a:srgbClr val="000000"/>
            </a:solidFill>
            <a:round/>
            <a:headEnd type="triangle" w="med" len="med"/>
            <a:tailEnd/>
          </a:ln>
          <a:extLst>
            <a:ext uri="{909E8E84-426E-40DD-AFC4-6F175D3DCCD1}">
              <a14:hiddenFill xmlns:a14="http://schemas.microsoft.com/office/drawing/2010/main">
                <a:noFill/>
              </a14:hiddenFill>
            </a:ext>
          </a:extLst>
        </xdr:spPr>
      </xdr:sp>
      <xdr:sp macro="" textlink="">
        <xdr:nvSpPr>
          <xdr:cNvPr id="191" name="Line 26"/>
          <xdr:cNvSpPr>
            <a:spLocks noChangeShapeType="1"/>
          </xdr:cNvSpPr>
        </xdr:nvSpPr>
        <xdr:spPr bwMode="auto">
          <a:xfrm flipV="1">
            <a:off x="398" y="3523"/>
            <a:ext cx="0" cy="83"/>
          </a:xfrm>
          <a:prstGeom prst="line">
            <a:avLst/>
          </a:prstGeom>
          <a:noFill/>
          <a:ln w="9525">
            <a:solidFill>
              <a:srgbClr val="000000"/>
            </a:solidFill>
            <a:round/>
            <a:headEnd type="triangle" w="med" len="med"/>
            <a:tailEnd/>
          </a:ln>
          <a:extLst>
            <a:ext uri="{909E8E84-426E-40DD-AFC4-6F175D3DCCD1}">
              <a14:hiddenFill xmlns:a14="http://schemas.microsoft.com/office/drawing/2010/main">
                <a:noFill/>
              </a14:hiddenFill>
            </a:ext>
          </a:extLst>
        </xdr:spPr>
      </xdr:sp>
      <xdr:sp macro="" textlink="">
        <xdr:nvSpPr>
          <xdr:cNvPr id="192" name="Line 27"/>
          <xdr:cNvSpPr>
            <a:spLocks noChangeShapeType="1"/>
          </xdr:cNvSpPr>
        </xdr:nvSpPr>
        <xdr:spPr bwMode="auto">
          <a:xfrm>
            <a:off x="300" y="3524"/>
            <a:ext cx="97"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193" name="Line 28"/>
          <xdr:cNvSpPr>
            <a:spLocks noChangeShapeType="1"/>
          </xdr:cNvSpPr>
        </xdr:nvSpPr>
        <xdr:spPr bwMode="auto">
          <a:xfrm>
            <a:off x="337" y="3526"/>
            <a:ext cx="0" cy="81"/>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sp macro="" textlink="">
        <xdr:nvSpPr>
          <xdr:cNvPr id="194" name="Line 29"/>
          <xdr:cNvSpPr>
            <a:spLocks noChangeShapeType="1"/>
          </xdr:cNvSpPr>
        </xdr:nvSpPr>
        <xdr:spPr bwMode="auto">
          <a:xfrm>
            <a:off x="370" y="3527"/>
            <a:ext cx="0" cy="81"/>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sp macro="" textlink="">
        <xdr:nvSpPr>
          <xdr:cNvPr id="195" name="Line 30"/>
          <xdr:cNvSpPr>
            <a:spLocks noChangeShapeType="1"/>
          </xdr:cNvSpPr>
        </xdr:nvSpPr>
        <xdr:spPr bwMode="auto">
          <a:xfrm>
            <a:off x="300" y="3607"/>
            <a:ext cx="98"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32</xdr:col>
      <xdr:colOff>114300</xdr:colOff>
      <xdr:row>465</xdr:row>
      <xdr:rowOff>57150</xdr:rowOff>
    </xdr:from>
    <xdr:to>
      <xdr:col>39</xdr:col>
      <xdr:colOff>114300</xdr:colOff>
      <xdr:row>468</xdr:row>
      <xdr:rowOff>66675</xdr:rowOff>
    </xdr:to>
    <xdr:grpSp>
      <xdr:nvGrpSpPr>
        <xdr:cNvPr id="196" name="Group 18"/>
        <xdr:cNvGrpSpPr>
          <a:grpSpLocks/>
        </xdr:cNvGrpSpPr>
      </xdr:nvGrpSpPr>
      <xdr:grpSpPr bwMode="auto">
        <a:xfrm>
          <a:off x="4991100" y="75190350"/>
          <a:ext cx="1066800" cy="619125"/>
          <a:chOff x="104" y="3522"/>
          <a:chExt cx="98" cy="64"/>
        </a:xfrm>
      </xdr:grpSpPr>
      <xdr:sp macro="" textlink="">
        <xdr:nvSpPr>
          <xdr:cNvPr id="197" name="Line 19"/>
          <xdr:cNvSpPr>
            <a:spLocks noChangeShapeType="1"/>
          </xdr:cNvSpPr>
        </xdr:nvSpPr>
        <xdr:spPr bwMode="auto">
          <a:xfrm>
            <a:off x="104" y="3523"/>
            <a:ext cx="96"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198" name="Line 20"/>
          <xdr:cNvSpPr>
            <a:spLocks noChangeShapeType="1"/>
          </xdr:cNvSpPr>
        </xdr:nvSpPr>
        <xdr:spPr bwMode="auto">
          <a:xfrm>
            <a:off x="104" y="3524"/>
            <a:ext cx="0" cy="60"/>
          </a:xfrm>
          <a:prstGeom prst="line">
            <a:avLst/>
          </a:prstGeom>
          <a:noFill/>
          <a:ln w="9525">
            <a:solidFill>
              <a:srgbClr val="000000"/>
            </a:solidFill>
            <a:round/>
            <a:headEnd type="triangle" w="med" len="med"/>
            <a:tailEnd/>
          </a:ln>
          <a:extLst>
            <a:ext uri="{909E8E84-426E-40DD-AFC4-6F175D3DCCD1}">
              <a14:hiddenFill xmlns:a14="http://schemas.microsoft.com/office/drawing/2010/main">
                <a:noFill/>
              </a14:hiddenFill>
            </a:ext>
          </a:extLst>
        </xdr:spPr>
      </xdr:sp>
      <xdr:sp macro="" textlink="">
        <xdr:nvSpPr>
          <xdr:cNvPr id="199" name="Line 21"/>
          <xdr:cNvSpPr>
            <a:spLocks noChangeShapeType="1"/>
          </xdr:cNvSpPr>
        </xdr:nvSpPr>
        <xdr:spPr bwMode="auto">
          <a:xfrm>
            <a:off x="202" y="3522"/>
            <a:ext cx="0" cy="30"/>
          </a:xfrm>
          <a:prstGeom prst="line">
            <a:avLst/>
          </a:prstGeom>
          <a:noFill/>
          <a:ln w="9525">
            <a:solidFill>
              <a:srgbClr val="000000"/>
            </a:solidFill>
            <a:round/>
            <a:headEnd type="triangle" w="med" len="med"/>
            <a:tailEnd/>
          </a:ln>
          <a:extLst>
            <a:ext uri="{909E8E84-426E-40DD-AFC4-6F175D3DCCD1}">
              <a14:hiddenFill xmlns:a14="http://schemas.microsoft.com/office/drawing/2010/main">
                <a:noFill/>
              </a14:hiddenFill>
            </a:ext>
          </a:extLst>
        </xdr:spPr>
      </xdr:sp>
      <xdr:sp macro="" textlink="">
        <xdr:nvSpPr>
          <xdr:cNvPr id="200" name="Line 22"/>
          <xdr:cNvSpPr>
            <a:spLocks noChangeShapeType="1"/>
          </xdr:cNvSpPr>
        </xdr:nvSpPr>
        <xdr:spPr bwMode="auto">
          <a:xfrm flipV="1">
            <a:off x="104" y="3553"/>
            <a:ext cx="98" cy="33"/>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1" name="Line 23"/>
          <xdr:cNvSpPr>
            <a:spLocks noChangeShapeType="1"/>
          </xdr:cNvSpPr>
        </xdr:nvSpPr>
        <xdr:spPr bwMode="auto">
          <a:xfrm>
            <a:off x="153" y="3523"/>
            <a:ext cx="0" cy="44"/>
          </a:xfrm>
          <a:prstGeom prst="line">
            <a:avLst/>
          </a:prstGeom>
          <a:noFill/>
          <a:ln w="9525">
            <a:solidFill>
              <a:srgbClr val="000000"/>
            </a:solidFill>
            <a:round/>
            <a:headEnd type="triangle" w="med" len="med"/>
            <a:tailEnd/>
          </a:ln>
          <a:extLst>
            <a:ext uri="{909E8E84-426E-40DD-AFC4-6F175D3DCCD1}">
              <a14:hiddenFill xmlns:a14="http://schemas.microsoft.com/office/drawing/2010/main">
                <a:noFill/>
              </a14:hiddenFill>
            </a:ext>
          </a:extLst>
        </xdr:spPr>
      </xdr:sp>
    </xdr:grpSp>
    <xdr:clientData/>
  </xdr:twoCellAnchor>
  <xdr:twoCellAnchor>
    <xdr:from>
      <xdr:col>22</xdr:col>
      <xdr:colOff>95250</xdr:colOff>
      <xdr:row>569</xdr:row>
      <xdr:rowOff>19050</xdr:rowOff>
    </xdr:from>
    <xdr:to>
      <xdr:col>29</xdr:col>
      <xdr:colOff>95250</xdr:colOff>
      <xdr:row>571</xdr:row>
      <xdr:rowOff>0</xdr:rowOff>
    </xdr:to>
    <xdr:grpSp>
      <xdr:nvGrpSpPr>
        <xdr:cNvPr id="202" name="Group 24"/>
        <xdr:cNvGrpSpPr>
          <a:grpSpLocks/>
        </xdr:cNvGrpSpPr>
      </xdr:nvGrpSpPr>
      <xdr:grpSpPr bwMode="auto">
        <a:xfrm>
          <a:off x="3448050" y="94640400"/>
          <a:ext cx="1066800" cy="361950"/>
          <a:chOff x="300" y="3523"/>
          <a:chExt cx="98" cy="85"/>
        </a:xfrm>
      </xdr:grpSpPr>
      <xdr:sp macro="" textlink="">
        <xdr:nvSpPr>
          <xdr:cNvPr id="203" name="Line 25"/>
          <xdr:cNvSpPr>
            <a:spLocks noChangeShapeType="1"/>
          </xdr:cNvSpPr>
        </xdr:nvSpPr>
        <xdr:spPr bwMode="auto">
          <a:xfrm flipV="1">
            <a:off x="300" y="3523"/>
            <a:ext cx="0" cy="82"/>
          </a:xfrm>
          <a:prstGeom prst="line">
            <a:avLst/>
          </a:prstGeom>
          <a:noFill/>
          <a:ln w="9525">
            <a:solidFill>
              <a:srgbClr val="000000"/>
            </a:solidFill>
            <a:round/>
            <a:headEnd type="triangle" w="med" len="med"/>
            <a:tailEnd/>
          </a:ln>
          <a:extLst>
            <a:ext uri="{909E8E84-426E-40DD-AFC4-6F175D3DCCD1}">
              <a14:hiddenFill xmlns:a14="http://schemas.microsoft.com/office/drawing/2010/main">
                <a:noFill/>
              </a14:hiddenFill>
            </a:ext>
          </a:extLst>
        </xdr:spPr>
      </xdr:sp>
      <xdr:sp macro="" textlink="">
        <xdr:nvSpPr>
          <xdr:cNvPr id="204" name="Line 26"/>
          <xdr:cNvSpPr>
            <a:spLocks noChangeShapeType="1"/>
          </xdr:cNvSpPr>
        </xdr:nvSpPr>
        <xdr:spPr bwMode="auto">
          <a:xfrm flipV="1">
            <a:off x="398" y="3523"/>
            <a:ext cx="0" cy="83"/>
          </a:xfrm>
          <a:prstGeom prst="line">
            <a:avLst/>
          </a:prstGeom>
          <a:noFill/>
          <a:ln w="9525">
            <a:solidFill>
              <a:srgbClr val="000000"/>
            </a:solidFill>
            <a:round/>
            <a:headEnd type="triangle" w="med" len="med"/>
            <a:tailEnd/>
          </a:ln>
          <a:extLst>
            <a:ext uri="{909E8E84-426E-40DD-AFC4-6F175D3DCCD1}">
              <a14:hiddenFill xmlns:a14="http://schemas.microsoft.com/office/drawing/2010/main">
                <a:noFill/>
              </a14:hiddenFill>
            </a:ext>
          </a:extLst>
        </xdr:spPr>
      </xdr:sp>
      <xdr:sp macro="" textlink="">
        <xdr:nvSpPr>
          <xdr:cNvPr id="205" name="Line 27"/>
          <xdr:cNvSpPr>
            <a:spLocks noChangeShapeType="1"/>
          </xdr:cNvSpPr>
        </xdr:nvSpPr>
        <xdr:spPr bwMode="auto">
          <a:xfrm>
            <a:off x="300" y="3524"/>
            <a:ext cx="97"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6" name="Line 28"/>
          <xdr:cNvSpPr>
            <a:spLocks noChangeShapeType="1"/>
          </xdr:cNvSpPr>
        </xdr:nvSpPr>
        <xdr:spPr bwMode="auto">
          <a:xfrm>
            <a:off x="337" y="3526"/>
            <a:ext cx="0" cy="81"/>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sp macro="" textlink="">
        <xdr:nvSpPr>
          <xdr:cNvPr id="207" name="Line 29"/>
          <xdr:cNvSpPr>
            <a:spLocks noChangeShapeType="1"/>
          </xdr:cNvSpPr>
        </xdr:nvSpPr>
        <xdr:spPr bwMode="auto">
          <a:xfrm>
            <a:off x="370" y="3527"/>
            <a:ext cx="0" cy="81"/>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sp macro="" textlink="">
        <xdr:nvSpPr>
          <xdr:cNvPr id="208" name="Line 30"/>
          <xdr:cNvSpPr>
            <a:spLocks noChangeShapeType="1"/>
          </xdr:cNvSpPr>
        </xdr:nvSpPr>
        <xdr:spPr bwMode="auto">
          <a:xfrm>
            <a:off x="300" y="3607"/>
            <a:ext cx="98"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32</xdr:col>
      <xdr:colOff>114300</xdr:colOff>
      <xdr:row>569</xdr:row>
      <xdr:rowOff>57150</xdr:rowOff>
    </xdr:from>
    <xdr:to>
      <xdr:col>39</xdr:col>
      <xdr:colOff>114300</xdr:colOff>
      <xdr:row>572</xdr:row>
      <xdr:rowOff>66675</xdr:rowOff>
    </xdr:to>
    <xdr:grpSp>
      <xdr:nvGrpSpPr>
        <xdr:cNvPr id="209" name="Group 18"/>
        <xdr:cNvGrpSpPr>
          <a:grpSpLocks/>
        </xdr:cNvGrpSpPr>
      </xdr:nvGrpSpPr>
      <xdr:grpSpPr bwMode="auto">
        <a:xfrm>
          <a:off x="4991100" y="94678500"/>
          <a:ext cx="1066800" cy="581025"/>
          <a:chOff x="104" y="3522"/>
          <a:chExt cx="98" cy="64"/>
        </a:xfrm>
      </xdr:grpSpPr>
      <xdr:sp macro="" textlink="">
        <xdr:nvSpPr>
          <xdr:cNvPr id="210" name="Line 19"/>
          <xdr:cNvSpPr>
            <a:spLocks noChangeShapeType="1"/>
          </xdr:cNvSpPr>
        </xdr:nvSpPr>
        <xdr:spPr bwMode="auto">
          <a:xfrm>
            <a:off x="104" y="3523"/>
            <a:ext cx="96"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1" name="Line 20"/>
          <xdr:cNvSpPr>
            <a:spLocks noChangeShapeType="1"/>
          </xdr:cNvSpPr>
        </xdr:nvSpPr>
        <xdr:spPr bwMode="auto">
          <a:xfrm>
            <a:off x="104" y="3524"/>
            <a:ext cx="0" cy="60"/>
          </a:xfrm>
          <a:prstGeom prst="line">
            <a:avLst/>
          </a:prstGeom>
          <a:noFill/>
          <a:ln w="9525">
            <a:solidFill>
              <a:srgbClr val="000000"/>
            </a:solidFill>
            <a:round/>
            <a:headEnd type="triangle" w="med" len="med"/>
            <a:tailEnd/>
          </a:ln>
          <a:extLst>
            <a:ext uri="{909E8E84-426E-40DD-AFC4-6F175D3DCCD1}">
              <a14:hiddenFill xmlns:a14="http://schemas.microsoft.com/office/drawing/2010/main">
                <a:noFill/>
              </a14:hiddenFill>
            </a:ext>
          </a:extLst>
        </xdr:spPr>
      </xdr:sp>
      <xdr:sp macro="" textlink="">
        <xdr:nvSpPr>
          <xdr:cNvPr id="212" name="Line 21"/>
          <xdr:cNvSpPr>
            <a:spLocks noChangeShapeType="1"/>
          </xdr:cNvSpPr>
        </xdr:nvSpPr>
        <xdr:spPr bwMode="auto">
          <a:xfrm>
            <a:off x="202" y="3522"/>
            <a:ext cx="0" cy="30"/>
          </a:xfrm>
          <a:prstGeom prst="line">
            <a:avLst/>
          </a:prstGeom>
          <a:noFill/>
          <a:ln w="9525">
            <a:solidFill>
              <a:srgbClr val="000000"/>
            </a:solidFill>
            <a:round/>
            <a:headEnd type="triangle" w="med" len="med"/>
            <a:tailEnd/>
          </a:ln>
          <a:extLst>
            <a:ext uri="{909E8E84-426E-40DD-AFC4-6F175D3DCCD1}">
              <a14:hiddenFill xmlns:a14="http://schemas.microsoft.com/office/drawing/2010/main">
                <a:noFill/>
              </a14:hiddenFill>
            </a:ext>
          </a:extLst>
        </xdr:spPr>
      </xdr:sp>
      <xdr:sp macro="" textlink="">
        <xdr:nvSpPr>
          <xdr:cNvPr id="213" name="Line 22"/>
          <xdr:cNvSpPr>
            <a:spLocks noChangeShapeType="1"/>
          </xdr:cNvSpPr>
        </xdr:nvSpPr>
        <xdr:spPr bwMode="auto">
          <a:xfrm flipV="1">
            <a:off x="104" y="3553"/>
            <a:ext cx="98" cy="33"/>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4" name="Line 23"/>
          <xdr:cNvSpPr>
            <a:spLocks noChangeShapeType="1"/>
          </xdr:cNvSpPr>
        </xdr:nvSpPr>
        <xdr:spPr bwMode="auto">
          <a:xfrm>
            <a:off x="153" y="3523"/>
            <a:ext cx="0" cy="44"/>
          </a:xfrm>
          <a:prstGeom prst="line">
            <a:avLst/>
          </a:prstGeom>
          <a:noFill/>
          <a:ln w="9525">
            <a:solidFill>
              <a:srgbClr val="000000"/>
            </a:solidFill>
            <a:round/>
            <a:headEnd type="triangle" w="med" len="med"/>
            <a:tailEnd/>
          </a:ln>
          <a:extLst>
            <a:ext uri="{909E8E84-426E-40DD-AFC4-6F175D3DCCD1}">
              <a14:hiddenFill xmlns:a14="http://schemas.microsoft.com/office/drawing/2010/main">
                <a:noFill/>
              </a14:hiddenFill>
            </a:ext>
          </a:extLst>
        </xdr:spPr>
      </xdr:sp>
    </xdr:grpSp>
    <xdr:clientData/>
  </xdr:twoCellAnchor>
  <xdr:twoCellAnchor>
    <xdr:from>
      <xdr:col>31</xdr:col>
      <xdr:colOff>114300</xdr:colOff>
      <xdr:row>574</xdr:row>
      <xdr:rowOff>57150</xdr:rowOff>
    </xdr:from>
    <xdr:to>
      <xdr:col>38</xdr:col>
      <xdr:colOff>114300</xdr:colOff>
      <xdr:row>577</xdr:row>
      <xdr:rowOff>66675</xdr:rowOff>
    </xdr:to>
    <xdr:grpSp>
      <xdr:nvGrpSpPr>
        <xdr:cNvPr id="215" name="Group 18"/>
        <xdr:cNvGrpSpPr>
          <a:grpSpLocks/>
        </xdr:cNvGrpSpPr>
      </xdr:nvGrpSpPr>
      <xdr:grpSpPr bwMode="auto">
        <a:xfrm>
          <a:off x="4838700" y="95773875"/>
          <a:ext cx="1066800" cy="600075"/>
          <a:chOff x="104" y="3522"/>
          <a:chExt cx="98" cy="64"/>
        </a:xfrm>
      </xdr:grpSpPr>
      <xdr:sp macro="" textlink="">
        <xdr:nvSpPr>
          <xdr:cNvPr id="216" name="Line 19"/>
          <xdr:cNvSpPr>
            <a:spLocks noChangeShapeType="1"/>
          </xdr:cNvSpPr>
        </xdr:nvSpPr>
        <xdr:spPr bwMode="auto">
          <a:xfrm>
            <a:off x="104" y="3523"/>
            <a:ext cx="96"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7" name="Line 20"/>
          <xdr:cNvSpPr>
            <a:spLocks noChangeShapeType="1"/>
          </xdr:cNvSpPr>
        </xdr:nvSpPr>
        <xdr:spPr bwMode="auto">
          <a:xfrm>
            <a:off x="104" y="3524"/>
            <a:ext cx="0" cy="60"/>
          </a:xfrm>
          <a:prstGeom prst="line">
            <a:avLst/>
          </a:prstGeom>
          <a:noFill/>
          <a:ln w="9525">
            <a:solidFill>
              <a:srgbClr val="000000"/>
            </a:solidFill>
            <a:round/>
            <a:headEnd type="triangle" w="med" len="med"/>
            <a:tailEnd/>
          </a:ln>
          <a:extLst>
            <a:ext uri="{909E8E84-426E-40DD-AFC4-6F175D3DCCD1}">
              <a14:hiddenFill xmlns:a14="http://schemas.microsoft.com/office/drawing/2010/main">
                <a:noFill/>
              </a14:hiddenFill>
            </a:ext>
          </a:extLst>
        </xdr:spPr>
      </xdr:sp>
      <xdr:sp macro="" textlink="">
        <xdr:nvSpPr>
          <xdr:cNvPr id="218" name="Line 21"/>
          <xdr:cNvSpPr>
            <a:spLocks noChangeShapeType="1"/>
          </xdr:cNvSpPr>
        </xdr:nvSpPr>
        <xdr:spPr bwMode="auto">
          <a:xfrm>
            <a:off x="202" y="3522"/>
            <a:ext cx="0" cy="30"/>
          </a:xfrm>
          <a:prstGeom prst="line">
            <a:avLst/>
          </a:prstGeom>
          <a:noFill/>
          <a:ln w="9525">
            <a:solidFill>
              <a:srgbClr val="000000"/>
            </a:solidFill>
            <a:round/>
            <a:headEnd type="triangle" w="med" len="med"/>
            <a:tailEnd/>
          </a:ln>
          <a:extLst>
            <a:ext uri="{909E8E84-426E-40DD-AFC4-6F175D3DCCD1}">
              <a14:hiddenFill xmlns:a14="http://schemas.microsoft.com/office/drawing/2010/main">
                <a:noFill/>
              </a14:hiddenFill>
            </a:ext>
          </a:extLst>
        </xdr:spPr>
      </xdr:sp>
      <xdr:sp macro="" textlink="">
        <xdr:nvSpPr>
          <xdr:cNvPr id="219" name="Line 22"/>
          <xdr:cNvSpPr>
            <a:spLocks noChangeShapeType="1"/>
          </xdr:cNvSpPr>
        </xdr:nvSpPr>
        <xdr:spPr bwMode="auto">
          <a:xfrm flipV="1">
            <a:off x="104" y="3553"/>
            <a:ext cx="98" cy="33"/>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0" name="Line 23"/>
          <xdr:cNvSpPr>
            <a:spLocks noChangeShapeType="1"/>
          </xdr:cNvSpPr>
        </xdr:nvSpPr>
        <xdr:spPr bwMode="auto">
          <a:xfrm>
            <a:off x="153" y="3523"/>
            <a:ext cx="0" cy="44"/>
          </a:xfrm>
          <a:prstGeom prst="line">
            <a:avLst/>
          </a:prstGeom>
          <a:noFill/>
          <a:ln w="9525">
            <a:solidFill>
              <a:srgbClr val="000000"/>
            </a:solidFill>
            <a:round/>
            <a:headEnd type="triangle" w="med" len="med"/>
            <a:tailEnd/>
          </a:ln>
          <a:extLst>
            <a:ext uri="{909E8E84-426E-40DD-AFC4-6F175D3DCCD1}">
              <a14:hiddenFill xmlns:a14="http://schemas.microsoft.com/office/drawing/2010/main">
                <a:noFill/>
              </a14:hiddenFill>
            </a:ext>
          </a:extLst>
        </xdr:spPr>
      </xdr:sp>
    </xdr:grpSp>
    <xdr:clientData/>
  </xdr:twoCellAnchor>
  <xdr:twoCellAnchor>
    <xdr:from>
      <xdr:col>46</xdr:col>
      <xdr:colOff>114300</xdr:colOff>
      <xdr:row>444</xdr:row>
      <xdr:rowOff>57150</xdr:rowOff>
    </xdr:from>
    <xdr:to>
      <xdr:col>53</xdr:col>
      <xdr:colOff>114300</xdr:colOff>
      <xdr:row>454</xdr:row>
      <xdr:rowOff>66675</xdr:rowOff>
    </xdr:to>
    <xdr:grpSp>
      <xdr:nvGrpSpPr>
        <xdr:cNvPr id="221" name="Group 18"/>
        <xdr:cNvGrpSpPr>
          <a:grpSpLocks/>
        </xdr:cNvGrpSpPr>
      </xdr:nvGrpSpPr>
      <xdr:grpSpPr bwMode="auto">
        <a:xfrm>
          <a:off x="7124700" y="71894700"/>
          <a:ext cx="990600" cy="1190625"/>
          <a:chOff x="104" y="3522"/>
          <a:chExt cx="98" cy="64"/>
        </a:xfrm>
      </xdr:grpSpPr>
      <xdr:sp macro="" textlink="">
        <xdr:nvSpPr>
          <xdr:cNvPr id="222" name="Line 19"/>
          <xdr:cNvSpPr>
            <a:spLocks noChangeShapeType="1"/>
          </xdr:cNvSpPr>
        </xdr:nvSpPr>
        <xdr:spPr bwMode="auto">
          <a:xfrm>
            <a:off x="104" y="3523"/>
            <a:ext cx="96"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3" name="Line 20"/>
          <xdr:cNvSpPr>
            <a:spLocks noChangeShapeType="1"/>
          </xdr:cNvSpPr>
        </xdr:nvSpPr>
        <xdr:spPr bwMode="auto">
          <a:xfrm>
            <a:off x="104" y="3524"/>
            <a:ext cx="0" cy="60"/>
          </a:xfrm>
          <a:prstGeom prst="line">
            <a:avLst/>
          </a:prstGeom>
          <a:noFill/>
          <a:ln w="9525">
            <a:solidFill>
              <a:srgbClr val="000000"/>
            </a:solidFill>
            <a:round/>
            <a:headEnd type="triangle" w="med" len="med"/>
            <a:tailEnd/>
          </a:ln>
          <a:extLst>
            <a:ext uri="{909E8E84-426E-40DD-AFC4-6F175D3DCCD1}">
              <a14:hiddenFill xmlns:a14="http://schemas.microsoft.com/office/drawing/2010/main">
                <a:noFill/>
              </a14:hiddenFill>
            </a:ext>
          </a:extLst>
        </xdr:spPr>
      </xdr:sp>
      <xdr:sp macro="" textlink="">
        <xdr:nvSpPr>
          <xdr:cNvPr id="224" name="Line 21"/>
          <xdr:cNvSpPr>
            <a:spLocks noChangeShapeType="1"/>
          </xdr:cNvSpPr>
        </xdr:nvSpPr>
        <xdr:spPr bwMode="auto">
          <a:xfrm>
            <a:off x="202" y="3522"/>
            <a:ext cx="0" cy="30"/>
          </a:xfrm>
          <a:prstGeom prst="line">
            <a:avLst/>
          </a:prstGeom>
          <a:noFill/>
          <a:ln w="9525">
            <a:solidFill>
              <a:srgbClr val="000000"/>
            </a:solidFill>
            <a:round/>
            <a:headEnd type="triangle" w="med" len="med"/>
            <a:tailEnd/>
          </a:ln>
          <a:extLst>
            <a:ext uri="{909E8E84-426E-40DD-AFC4-6F175D3DCCD1}">
              <a14:hiddenFill xmlns:a14="http://schemas.microsoft.com/office/drawing/2010/main">
                <a:noFill/>
              </a14:hiddenFill>
            </a:ext>
          </a:extLst>
        </xdr:spPr>
      </xdr:sp>
      <xdr:sp macro="" textlink="">
        <xdr:nvSpPr>
          <xdr:cNvPr id="225" name="Line 22"/>
          <xdr:cNvSpPr>
            <a:spLocks noChangeShapeType="1"/>
          </xdr:cNvSpPr>
        </xdr:nvSpPr>
        <xdr:spPr bwMode="auto">
          <a:xfrm flipV="1">
            <a:off x="104" y="3553"/>
            <a:ext cx="98" cy="33"/>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6" name="Line 23"/>
          <xdr:cNvSpPr>
            <a:spLocks noChangeShapeType="1"/>
          </xdr:cNvSpPr>
        </xdr:nvSpPr>
        <xdr:spPr bwMode="auto">
          <a:xfrm>
            <a:off x="153" y="3523"/>
            <a:ext cx="0" cy="44"/>
          </a:xfrm>
          <a:prstGeom prst="line">
            <a:avLst/>
          </a:prstGeom>
          <a:noFill/>
          <a:ln w="9525">
            <a:solidFill>
              <a:srgbClr val="000000"/>
            </a:solidFill>
            <a:round/>
            <a:headEnd type="triangle" w="med" len="med"/>
            <a:tailEnd/>
          </a:ln>
          <a:extLst>
            <a:ext uri="{909E8E84-426E-40DD-AFC4-6F175D3DCCD1}">
              <a14:hiddenFill xmlns:a14="http://schemas.microsoft.com/office/drawing/2010/main">
                <a:noFill/>
              </a14:hiddenFill>
            </a:ext>
          </a:extLst>
        </xdr:spPr>
      </xdr:sp>
    </xdr:grpSp>
    <xdr:clientData/>
  </xdr:twoCellAnchor>
  <xdr:twoCellAnchor>
    <xdr:from>
      <xdr:col>61</xdr:col>
      <xdr:colOff>114300</xdr:colOff>
      <xdr:row>444</xdr:row>
      <xdr:rowOff>57150</xdr:rowOff>
    </xdr:from>
    <xdr:to>
      <xdr:col>68</xdr:col>
      <xdr:colOff>114300</xdr:colOff>
      <xdr:row>454</xdr:row>
      <xdr:rowOff>66675</xdr:rowOff>
    </xdr:to>
    <xdr:grpSp>
      <xdr:nvGrpSpPr>
        <xdr:cNvPr id="227" name="Group 18"/>
        <xdr:cNvGrpSpPr>
          <a:grpSpLocks/>
        </xdr:cNvGrpSpPr>
      </xdr:nvGrpSpPr>
      <xdr:grpSpPr bwMode="auto">
        <a:xfrm>
          <a:off x="9182100" y="71894700"/>
          <a:ext cx="933450" cy="1190625"/>
          <a:chOff x="104" y="3522"/>
          <a:chExt cx="98" cy="64"/>
        </a:xfrm>
      </xdr:grpSpPr>
      <xdr:sp macro="" textlink="">
        <xdr:nvSpPr>
          <xdr:cNvPr id="228" name="Line 19"/>
          <xdr:cNvSpPr>
            <a:spLocks noChangeShapeType="1"/>
          </xdr:cNvSpPr>
        </xdr:nvSpPr>
        <xdr:spPr bwMode="auto">
          <a:xfrm>
            <a:off x="104" y="3523"/>
            <a:ext cx="96"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9" name="Line 20"/>
          <xdr:cNvSpPr>
            <a:spLocks noChangeShapeType="1"/>
          </xdr:cNvSpPr>
        </xdr:nvSpPr>
        <xdr:spPr bwMode="auto">
          <a:xfrm>
            <a:off x="104" y="3524"/>
            <a:ext cx="0" cy="60"/>
          </a:xfrm>
          <a:prstGeom prst="line">
            <a:avLst/>
          </a:prstGeom>
          <a:noFill/>
          <a:ln w="9525">
            <a:solidFill>
              <a:srgbClr val="000000"/>
            </a:solidFill>
            <a:round/>
            <a:headEnd type="triangle" w="med" len="med"/>
            <a:tailEnd/>
          </a:ln>
          <a:extLst>
            <a:ext uri="{909E8E84-426E-40DD-AFC4-6F175D3DCCD1}">
              <a14:hiddenFill xmlns:a14="http://schemas.microsoft.com/office/drawing/2010/main">
                <a:noFill/>
              </a14:hiddenFill>
            </a:ext>
          </a:extLst>
        </xdr:spPr>
      </xdr:sp>
      <xdr:sp macro="" textlink="">
        <xdr:nvSpPr>
          <xdr:cNvPr id="230" name="Line 21"/>
          <xdr:cNvSpPr>
            <a:spLocks noChangeShapeType="1"/>
          </xdr:cNvSpPr>
        </xdr:nvSpPr>
        <xdr:spPr bwMode="auto">
          <a:xfrm>
            <a:off x="202" y="3522"/>
            <a:ext cx="0" cy="30"/>
          </a:xfrm>
          <a:prstGeom prst="line">
            <a:avLst/>
          </a:prstGeom>
          <a:noFill/>
          <a:ln w="9525">
            <a:solidFill>
              <a:srgbClr val="000000"/>
            </a:solidFill>
            <a:round/>
            <a:headEnd type="triangle" w="med" len="med"/>
            <a:tailEnd/>
          </a:ln>
          <a:extLst>
            <a:ext uri="{909E8E84-426E-40DD-AFC4-6F175D3DCCD1}">
              <a14:hiddenFill xmlns:a14="http://schemas.microsoft.com/office/drawing/2010/main">
                <a:noFill/>
              </a14:hiddenFill>
            </a:ext>
          </a:extLst>
        </xdr:spPr>
      </xdr:sp>
      <xdr:sp macro="" textlink="">
        <xdr:nvSpPr>
          <xdr:cNvPr id="231" name="Line 22"/>
          <xdr:cNvSpPr>
            <a:spLocks noChangeShapeType="1"/>
          </xdr:cNvSpPr>
        </xdr:nvSpPr>
        <xdr:spPr bwMode="auto">
          <a:xfrm flipV="1">
            <a:off x="104" y="3553"/>
            <a:ext cx="98" cy="33"/>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2" name="Line 23"/>
          <xdr:cNvSpPr>
            <a:spLocks noChangeShapeType="1"/>
          </xdr:cNvSpPr>
        </xdr:nvSpPr>
        <xdr:spPr bwMode="auto">
          <a:xfrm>
            <a:off x="153" y="3523"/>
            <a:ext cx="0" cy="44"/>
          </a:xfrm>
          <a:prstGeom prst="line">
            <a:avLst/>
          </a:prstGeom>
          <a:noFill/>
          <a:ln w="9525">
            <a:solidFill>
              <a:srgbClr val="000000"/>
            </a:solidFill>
            <a:round/>
            <a:headEnd type="triangle" w="med" len="med"/>
            <a:tailEnd/>
          </a:ln>
          <a:extLst>
            <a:ext uri="{909E8E84-426E-40DD-AFC4-6F175D3DCCD1}">
              <a14:hiddenFill xmlns:a14="http://schemas.microsoft.com/office/drawing/2010/main">
                <a:noFill/>
              </a14:hiddenFill>
            </a:ext>
          </a:extLst>
        </xdr:spPr>
      </xdr:sp>
    </xdr:grpSp>
    <xdr:clientData/>
  </xdr:twoCellAnchor>
  <xdr:twoCellAnchor>
    <xdr:from>
      <xdr:col>46</xdr:col>
      <xdr:colOff>114300</xdr:colOff>
      <xdr:row>561</xdr:row>
      <xdr:rowOff>57150</xdr:rowOff>
    </xdr:from>
    <xdr:to>
      <xdr:col>53</xdr:col>
      <xdr:colOff>114300</xdr:colOff>
      <xdr:row>564</xdr:row>
      <xdr:rowOff>66675</xdr:rowOff>
    </xdr:to>
    <xdr:grpSp>
      <xdr:nvGrpSpPr>
        <xdr:cNvPr id="233" name="Group 18"/>
        <xdr:cNvGrpSpPr>
          <a:grpSpLocks/>
        </xdr:cNvGrpSpPr>
      </xdr:nvGrpSpPr>
      <xdr:grpSpPr bwMode="auto">
        <a:xfrm>
          <a:off x="7124700" y="93383100"/>
          <a:ext cx="990600" cy="638175"/>
          <a:chOff x="104" y="3522"/>
          <a:chExt cx="98" cy="64"/>
        </a:xfrm>
      </xdr:grpSpPr>
      <xdr:sp macro="" textlink="">
        <xdr:nvSpPr>
          <xdr:cNvPr id="234" name="Line 19"/>
          <xdr:cNvSpPr>
            <a:spLocks noChangeShapeType="1"/>
          </xdr:cNvSpPr>
        </xdr:nvSpPr>
        <xdr:spPr bwMode="auto">
          <a:xfrm>
            <a:off x="104" y="3523"/>
            <a:ext cx="96"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5" name="Line 20"/>
          <xdr:cNvSpPr>
            <a:spLocks noChangeShapeType="1"/>
          </xdr:cNvSpPr>
        </xdr:nvSpPr>
        <xdr:spPr bwMode="auto">
          <a:xfrm>
            <a:off x="104" y="3524"/>
            <a:ext cx="0" cy="60"/>
          </a:xfrm>
          <a:prstGeom prst="line">
            <a:avLst/>
          </a:prstGeom>
          <a:noFill/>
          <a:ln w="9525">
            <a:solidFill>
              <a:srgbClr val="000000"/>
            </a:solidFill>
            <a:round/>
            <a:headEnd type="triangle" w="med" len="med"/>
            <a:tailEnd/>
          </a:ln>
          <a:extLst>
            <a:ext uri="{909E8E84-426E-40DD-AFC4-6F175D3DCCD1}">
              <a14:hiddenFill xmlns:a14="http://schemas.microsoft.com/office/drawing/2010/main">
                <a:noFill/>
              </a14:hiddenFill>
            </a:ext>
          </a:extLst>
        </xdr:spPr>
      </xdr:sp>
      <xdr:sp macro="" textlink="">
        <xdr:nvSpPr>
          <xdr:cNvPr id="236" name="Line 21"/>
          <xdr:cNvSpPr>
            <a:spLocks noChangeShapeType="1"/>
          </xdr:cNvSpPr>
        </xdr:nvSpPr>
        <xdr:spPr bwMode="auto">
          <a:xfrm>
            <a:off x="202" y="3522"/>
            <a:ext cx="0" cy="30"/>
          </a:xfrm>
          <a:prstGeom prst="line">
            <a:avLst/>
          </a:prstGeom>
          <a:noFill/>
          <a:ln w="9525">
            <a:solidFill>
              <a:srgbClr val="000000"/>
            </a:solidFill>
            <a:round/>
            <a:headEnd type="triangle" w="med" len="med"/>
            <a:tailEnd/>
          </a:ln>
          <a:extLst>
            <a:ext uri="{909E8E84-426E-40DD-AFC4-6F175D3DCCD1}">
              <a14:hiddenFill xmlns:a14="http://schemas.microsoft.com/office/drawing/2010/main">
                <a:noFill/>
              </a14:hiddenFill>
            </a:ext>
          </a:extLst>
        </xdr:spPr>
      </xdr:sp>
      <xdr:sp macro="" textlink="">
        <xdr:nvSpPr>
          <xdr:cNvPr id="237" name="Line 22"/>
          <xdr:cNvSpPr>
            <a:spLocks noChangeShapeType="1"/>
          </xdr:cNvSpPr>
        </xdr:nvSpPr>
        <xdr:spPr bwMode="auto">
          <a:xfrm flipV="1">
            <a:off x="104" y="3553"/>
            <a:ext cx="98" cy="33"/>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8" name="Line 23"/>
          <xdr:cNvSpPr>
            <a:spLocks noChangeShapeType="1"/>
          </xdr:cNvSpPr>
        </xdr:nvSpPr>
        <xdr:spPr bwMode="auto">
          <a:xfrm>
            <a:off x="153" y="3523"/>
            <a:ext cx="0" cy="44"/>
          </a:xfrm>
          <a:prstGeom prst="line">
            <a:avLst/>
          </a:prstGeom>
          <a:noFill/>
          <a:ln w="9525">
            <a:solidFill>
              <a:srgbClr val="000000"/>
            </a:solidFill>
            <a:round/>
            <a:headEnd type="triangle" w="med" len="med"/>
            <a:tailEnd/>
          </a:ln>
          <a:extLst>
            <a:ext uri="{909E8E84-426E-40DD-AFC4-6F175D3DCCD1}">
              <a14:hiddenFill xmlns:a14="http://schemas.microsoft.com/office/drawing/2010/main">
                <a:noFill/>
              </a14:hiddenFill>
            </a:ext>
          </a:extLst>
        </xdr:spPr>
      </xdr:sp>
    </xdr:grpSp>
    <xdr:clientData/>
  </xdr:twoCellAnchor>
  <xdr:twoCellAnchor>
    <xdr:from>
      <xdr:col>60</xdr:col>
      <xdr:colOff>114300</xdr:colOff>
      <xdr:row>561</xdr:row>
      <xdr:rowOff>57150</xdr:rowOff>
    </xdr:from>
    <xdr:to>
      <xdr:col>67</xdr:col>
      <xdr:colOff>114300</xdr:colOff>
      <xdr:row>564</xdr:row>
      <xdr:rowOff>66675</xdr:rowOff>
    </xdr:to>
    <xdr:grpSp>
      <xdr:nvGrpSpPr>
        <xdr:cNvPr id="239" name="Group 18"/>
        <xdr:cNvGrpSpPr>
          <a:grpSpLocks/>
        </xdr:cNvGrpSpPr>
      </xdr:nvGrpSpPr>
      <xdr:grpSpPr bwMode="auto">
        <a:xfrm>
          <a:off x="9048750" y="93383100"/>
          <a:ext cx="933450" cy="638175"/>
          <a:chOff x="104" y="3522"/>
          <a:chExt cx="98" cy="64"/>
        </a:xfrm>
      </xdr:grpSpPr>
      <xdr:sp macro="" textlink="">
        <xdr:nvSpPr>
          <xdr:cNvPr id="240" name="Line 19"/>
          <xdr:cNvSpPr>
            <a:spLocks noChangeShapeType="1"/>
          </xdr:cNvSpPr>
        </xdr:nvSpPr>
        <xdr:spPr bwMode="auto">
          <a:xfrm>
            <a:off x="104" y="3523"/>
            <a:ext cx="96"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41" name="Line 20"/>
          <xdr:cNvSpPr>
            <a:spLocks noChangeShapeType="1"/>
          </xdr:cNvSpPr>
        </xdr:nvSpPr>
        <xdr:spPr bwMode="auto">
          <a:xfrm>
            <a:off x="104" y="3524"/>
            <a:ext cx="0" cy="60"/>
          </a:xfrm>
          <a:prstGeom prst="line">
            <a:avLst/>
          </a:prstGeom>
          <a:noFill/>
          <a:ln w="9525">
            <a:solidFill>
              <a:srgbClr val="000000"/>
            </a:solidFill>
            <a:round/>
            <a:headEnd type="triangle" w="med" len="med"/>
            <a:tailEnd/>
          </a:ln>
          <a:extLst>
            <a:ext uri="{909E8E84-426E-40DD-AFC4-6F175D3DCCD1}">
              <a14:hiddenFill xmlns:a14="http://schemas.microsoft.com/office/drawing/2010/main">
                <a:noFill/>
              </a14:hiddenFill>
            </a:ext>
          </a:extLst>
        </xdr:spPr>
      </xdr:sp>
      <xdr:sp macro="" textlink="">
        <xdr:nvSpPr>
          <xdr:cNvPr id="242" name="Line 21"/>
          <xdr:cNvSpPr>
            <a:spLocks noChangeShapeType="1"/>
          </xdr:cNvSpPr>
        </xdr:nvSpPr>
        <xdr:spPr bwMode="auto">
          <a:xfrm>
            <a:off x="202" y="3522"/>
            <a:ext cx="0" cy="30"/>
          </a:xfrm>
          <a:prstGeom prst="line">
            <a:avLst/>
          </a:prstGeom>
          <a:noFill/>
          <a:ln w="9525">
            <a:solidFill>
              <a:srgbClr val="000000"/>
            </a:solidFill>
            <a:round/>
            <a:headEnd type="triangle" w="med" len="med"/>
            <a:tailEnd/>
          </a:ln>
          <a:extLst>
            <a:ext uri="{909E8E84-426E-40DD-AFC4-6F175D3DCCD1}">
              <a14:hiddenFill xmlns:a14="http://schemas.microsoft.com/office/drawing/2010/main">
                <a:noFill/>
              </a14:hiddenFill>
            </a:ext>
          </a:extLst>
        </xdr:spPr>
      </xdr:sp>
      <xdr:sp macro="" textlink="">
        <xdr:nvSpPr>
          <xdr:cNvPr id="243" name="Line 22"/>
          <xdr:cNvSpPr>
            <a:spLocks noChangeShapeType="1"/>
          </xdr:cNvSpPr>
        </xdr:nvSpPr>
        <xdr:spPr bwMode="auto">
          <a:xfrm flipV="1">
            <a:off x="104" y="3553"/>
            <a:ext cx="98" cy="33"/>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44" name="Line 23"/>
          <xdr:cNvSpPr>
            <a:spLocks noChangeShapeType="1"/>
          </xdr:cNvSpPr>
        </xdr:nvSpPr>
        <xdr:spPr bwMode="auto">
          <a:xfrm>
            <a:off x="153" y="3523"/>
            <a:ext cx="0" cy="44"/>
          </a:xfrm>
          <a:prstGeom prst="line">
            <a:avLst/>
          </a:prstGeom>
          <a:noFill/>
          <a:ln w="9525">
            <a:solidFill>
              <a:srgbClr val="000000"/>
            </a:solidFill>
            <a:round/>
            <a:headEnd type="triangle" w="med" len="med"/>
            <a:tailEnd/>
          </a:ln>
          <a:extLst>
            <a:ext uri="{909E8E84-426E-40DD-AFC4-6F175D3DCCD1}">
              <a14:hiddenFill xmlns:a14="http://schemas.microsoft.com/office/drawing/2010/main">
                <a:noFill/>
              </a14:hiddenFill>
            </a:ext>
          </a:extLst>
        </xdr:spPr>
      </xdr:sp>
    </xdr:grpSp>
    <xdr:clientData/>
  </xdr:twoCellAnchor>
  <xdr:twoCellAnchor>
    <xdr:from>
      <xdr:col>41</xdr:col>
      <xdr:colOff>17546</xdr:colOff>
      <xdr:row>6</xdr:row>
      <xdr:rowOff>114300</xdr:rowOff>
    </xdr:from>
    <xdr:to>
      <xdr:col>41</xdr:col>
      <xdr:colOff>17546</xdr:colOff>
      <xdr:row>15</xdr:row>
      <xdr:rowOff>35625</xdr:rowOff>
    </xdr:to>
    <xdr:cxnSp macro="">
      <xdr:nvCxnSpPr>
        <xdr:cNvPr id="245" name="Straight Arrow Connector 244"/>
        <xdr:cNvCxnSpPr/>
      </xdr:nvCxnSpPr>
      <xdr:spPr>
        <a:xfrm>
          <a:off x="6265946" y="1247775"/>
          <a:ext cx="0" cy="1512000"/>
        </a:xfrm>
        <a:prstGeom prst="straightConnector1">
          <a:avLst/>
        </a:prstGeom>
        <a:ln w="3175">
          <a:headEnd type="triangle" w="med" len="sm"/>
          <a:tailEnd type="triangle" w="med" len="sm"/>
        </a:ln>
      </xdr:spPr>
      <xdr:style>
        <a:lnRef idx="1">
          <a:schemeClr val="dk1"/>
        </a:lnRef>
        <a:fillRef idx="0">
          <a:schemeClr val="dk1"/>
        </a:fillRef>
        <a:effectRef idx="0">
          <a:schemeClr val="dk1"/>
        </a:effectRef>
        <a:fontRef idx="minor">
          <a:schemeClr val="tx1"/>
        </a:fontRef>
      </xdr:style>
    </xdr:cxnSp>
    <xdr:clientData/>
  </xdr:twoCellAnchor>
  <mc:AlternateContent xmlns:mc="http://schemas.openxmlformats.org/markup-compatibility/2006">
    <mc:Choice xmlns:a14="http://schemas.microsoft.com/office/drawing/2010/main" Requires="a14">
      <xdr:twoCellAnchor>
        <xdr:from>
          <xdr:col>2</xdr:col>
          <xdr:colOff>120650</xdr:colOff>
          <xdr:row>90</xdr:row>
          <xdr:rowOff>57151</xdr:rowOff>
        </xdr:from>
        <xdr:to>
          <xdr:col>22</xdr:col>
          <xdr:colOff>98425</xdr:colOff>
          <xdr:row>617</xdr:row>
          <xdr:rowOff>0</xdr:rowOff>
        </xdr:to>
        <xdr:grpSp>
          <xdr:nvGrpSpPr>
            <xdr:cNvPr id="254" name="Group 253"/>
            <xdr:cNvGrpSpPr/>
          </xdr:nvGrpSpPr>
          <xdr:grpSpPr>
            <a:xfrm>
              <a:off x="438150" y="14649451"/>
              <a:ext cx="3152775" cy="85610699"/>
              <a:chOff x="438150" y="14649451"/>
              <a:chExt cx="3152775" cy="85801199"/>
            </a:xfrm>
          </xdr:grpSpPr>
          <xdr:sp macro="" textlink="">
            <xdr:nvSpPr>
              <xdr:cNvPr id="5121" name="Object 1" hidden="1">
                <a:extLst>
                  <a:ext uri="{63B3BB69-23CF-44E3-9099-C40C66FF867C}">
                    <a14:compatExt spid="_x0000_s5121"/>
                  </a:ext>
                </a:extLst>
              </xdr:cNvPr>
              <xdr:cNvSpPr/>
            </xdr:nvSpPr>
            <xdr:spPr bwMode="auto">
              <a:xfrm>
                <a:off x="438150" y="14649451"/>
                <a:ext cx="1095375" cy="333375"/>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grpSp>
            <xdr:nvGrpSpPr>
              <xdr:cNvPr id="11" name="Group 10"/>
              <xdr:cNvGrpSpPr/>
            </xdr:nvGrpSpPr>
            <xdr:grpSpPr>
              <a:xfrm>
                <a:off x="1504950" y="36841564"/>
                <a:ext cx="2085975" cy="63609086"/>
                <a:chOff x="1504950" y="36841564"/>
                <a:chExt cx="2085975" cy="63609086"/>
              </a:xfrm>
            </xdr:grpSpPr>
            <xdr:sp macro="" textlink="">
              <xdr:nvSpPr>
                <xdr:cNvPr id="5133" name="Object 13" hidden="1">
                  <a:extLst>
                    <a:ext uri="{63B3BB69-23CF-44E3-9099-C40C66FF867C}">
                      <a14:compatExt spid="_x0000_s5133"/>
                    </a:ext>
                  </a:extLst>
                </xdr:cNvPr>
                <xdr:cNvSpPr/>
              </xdr:nvSpPr>
              <xdr:spPr bwMode="auto">
                <a:xfrm>
                  <a:off x="1504950" y="36841564"/>
                  <a:ext cx="485775" cy="269091"/>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sp macro="" textlink="">
              <xdr:nvSpPr>
                <xdr:cNvPr id="5134" name="Object 14" hidden="1">
                  <a:extLst>
                    <a:ext uri="{63B3BB69-23CF-44E3-9099-C40C66FF867C}">
                      <a14:compatExt spid="_x0000_s5134"/>
                    </a:ext>
                  </a:extLst>
                </xdr:cNvPr>
                <xdr:cNvSpPr/>
              </xdr:nvSpPr>
              <xdr:spPr bwMode="auto">
                <a:xfrm>
                  <a:off x="1514475" y="37244779"/>
                  <a:ext cx="457200" cy="259479"/>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sp macro="" textlink="">
              <xdr:nvSpPr>
                <xdr:cNvPr id="5136" name="Object 16" hidden="1">
                  <a:extLst>
                    <a:ext uri="{63B3BB69-23CF-44E3-9099-C40C66FF867C}">
                      <a14:compatExt spid="_x0000_s5136"/>
                    </a:ext>
                  </a:extLst>
                </xdr:cNvPr>
                <xdr:cNvSpPr/>
              </xdr:nvSpPr>
              <xdr:spPr bwMode="auto">
                <a:xfrm>
                  <a:off x="2124075" y="57406857"/>
                  <a:ext cx="1466850" cy="305478"/>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sp macro="" textlink="">
              <xdr:nvSpPr>
                <xdr:cNvPr id="5137" name="Object 17" hidden="1">
                  <a:extLst>
                    <a:ext uri="{63B3BB69-23CF-44E3-9099-C40C66FF867C}">
                      <a14:compatExt spid="_x0000_s5137"/>
                    </a:ext>
                  </a:extLst>
                </xdr:cNvPr>
                <xdr:cNvSpPr/>
              </xdr:nvSpPr>
              <xdr:spPr bwMode="auto">
                <a:xfrm>
                  <a:off x="1952625" y="60786209"/>
                  <a:ext cx="1466850" cy="295932"/>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sp macro="" textlink="">
              <xdr:nvSpPr>
                <xdr:cNvPr id="5138" name="Object 18" hidden="1">
                  <a:extLst>
                    <a:ext uri="{63B3BB69-23CF-44E3-9099-C40C66FF867C}">
                      <a14:compatExt spid="_x0000_s5138"/>
                    </a:ext>
                  </a:extLst>
                </xdr:cNvPr>
                <xdr:cNvSpPr/>
              </xdr:nvSpPr>
              <xdr:spPr bwMode="auto">
                <a:xfrm>
                  <a:off x="2009775" y="77858176"/>
                  <a:ext cx="1466850" cy="281688"/>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sp macro="" textlink="">
              <xdr:nvSpPr>
                <xdr:cNvPr id="5139" name="Object 19" hidden="1">
                  <a:extLst>
                    <a:ext uri="{63B3BB69-23CF-44E3-9099-C40C66FF867C}">
                      <a14:compatExt spid="_x0000_s5139"/>
                    </a:ext>
                  </a:extLst>
                </xdr:cNvPr>
                <xdr:cNvSpPr/>
              </xdr:nvSpPr>
              <xdr:spPr bwMode="auto">
                <a:xfrm>
                  <a:off x="2009775" y="100222050"/>
                  <a:ext cx="1466850" cy="22860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sp macro="" textlink="">
              <xdr:nvSpPr>
                <xdr:cNvPr id="5144" name="Object 24" hidden="1">
                  <a:extLst>
                    <a:ext uri="{63B3BB69-23CF-44E3-9099-C40C66FF867C}">
                      <a14:compatExt spid="_x0000_s5144"/>
                    </a:ext>
                  </a:extLst>
                </xdr:cNvPr>
                <xdr:cNvSpPr/>
              </xdr:nvSpPr>
              <xdr:spPr bwMode="auto">
                <a:xfrm>
                  <a:off x="1552575" y="44091831"/>
                  <a:ext cx="485775" cy="274923"/>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sp macro="" textlink="">
              <xdr:nvSpPr>
                <xdr:cNvPr id="5145" name="Object 25" hidden="1">
                  <a:extLst>
                    <a:ext uri="{63B3BB69-23CF-44E3-9099-C40C66FF867C}">
                      <a14:compatExt spid="_x0000_s5145"/>
                    </a:ext>
                  </a:extLst>
                </xdr:cNvPr>
                <xdr:cNvSpPr/>
              </xdr:nvSpPr>
              <xdr:spPr bwMode="auto">
                <a:xfrm>
                  <a:off x="1562100" y="44482610"/>
                  <a:ext cx="457200" cy="275539"/>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sp macro="" textlink="">
              <xdr:nvSpPr>
                <xdr:cNvPr id="5146" name="Object 26" hidden="1">
                  <a:extLst>
                    <a:ext uri="{63B3BB69-23CF-44E3-9099-C40C66FF867C}">
                      <a14:compatExt spid="_x0000_s5146"/>
                    </a:ext>
                  </a:extLst>
                </xdr:cNvPr>
                <xdr:cNvSpPr/>
              </xdr:nvSpPr>
              <xdr:spPr bwMode="auto">
                <a:xfrm>
                  <a:off x="1543050" y="47159073"/>
                  <a:ext cx="485775" cy="27201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sp macro="" textlink="">
              <xdr:nvSpPr>
                <xdr:cNvPr id="5147" name="Object 27" hidden="1">
                  <a:extLst>
                    <a:ext uri="{63B3BB69-23CF-44E3-9099-C40C66FF867C}">
                      <a14:compatExt spid="_x0000_s5147"/>
                    </a:ext>
                  </a:extLst>
                </xdr:cNvPr>
                <xdr:cNvSpPr/>
              </xdr:nvSpPr>
              <xdr:spPr bwMode="auto">
                <a:xfrm>
                  <a:off x="1562100" y="47530783"/>
                  <a:ext cx="457200" cy="224871"/>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sp macro="" textlink="">
              <xdr:nvSpPr>
                <xdr:cNvPr id="5148" name="Object 28" hidden="1">
                  <a:extLst>
                    <a:ext uri="{63B3BB69-23CF-44E3-9099-C40C66FF867C}">
                      <a14:compatExt spid="_x0000_s5148"/>
                    </a:ext>
                  </a:extLst>
                </xdr:cNvPr>
                <xdr:cNvSpPr/>
              </xdr:nvSpPr>
              <xdr:spPr bwMode="auto">
                <a:xfrm>
                  <a:off x="1552575" y="50169145"/>
                  <a:ext cx="485775" cy="249898"/>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sp macro="" textlink="">
              <xdr:nvSpPr>
                <xdr:cNvPr id="5149" name="Object 29" hidden="1">
                  <a:extLst>
                    <a:ext uri="{63B3BB69-23CF-44E3-9099-C40C66FF867C}">
                      <a14:compatExt spid="_x0000_s5149"/>
                    </a:ext>
                  </a:extLst>
                </xdr:cNvPr>
                <xdr:cNvSpPr/>
              </xdr:nvSpPr>
              <xdr:spPr bwMode="auto">
                <a:xfrm>
                  <a:off x="1571625" y="50531328"/>
                  <a:ext cx="457200" cy="260016"/>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sp macro="" textlink="">
              <xdr:nvSpPr>
                <xdr:cNvPr id="5151" name="Object 31" hidden="1">
                  <a:extLst>
                    <a:ext uri="{63B3BB69-23CF-44E3-9099-C40C66FF867C}">
                      <a14:compatExt spid="_x0000_s5151"/>
                    </a:ext>
                  </a:extLst>
                </xdr:cNvPr>
                <xdr:cNvSpPr/>
              </xdr:nvSpPr>
              <xdr:spPr bwMode="auto">
                <a:xfrm>
                  <a:off x="1924050" y="85533129"/>
                  <a:ext cx="1466850" cy="308931"/>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grpSp>
        </xdr:grpSp>
        <xdr:clientData/>
      </xdr:twoCellAnchor>
    </mc:Choice>
    <mc:Fallback/>
  </mc:AlternateContent>
  <xdr:twoCellAnchor>
    <xdr:from>
      <xdr:col>32</xdr:col>
      <xdr:colOff>114300</xdr:colOff>
      <xdr:row>490</xdr:row>
      <xdr:rowOff>57148</xdr:rowOff>
    </xdr:from>
    <xdr:to>
      <xdr:col>39</xdr:col>
      <xdr:colOff>114300</xdr:colOff>
      <xdr:row>491</xdr:row>
      <xdr:rowOff>166239</xdr:rowOff>
    </xdr:to>
    <xdr:grpSp>
      <xdr:nvGrpSpPr>
        <xdr:cNvPr id="248" name="Group 18"/>
        <xdr:cNvGrpSpPr>
          <a:grpSpLocks/>
        </xdr:cNvGrpSpPr>
      </xdr:nvGrpSpPr>
      <xdr:grpSpPr bwMode="auto">
        <a:xfrm>
          <a:off x="4991100" y="80009998"/>
          <a:ext cx="1066800" cy="299591"/>
          <a:chOff x="104" y="3522"/>
          <a:chExt cx="98" cy="33"/>
        </a:xfrm>
      </xdr:grpSpPr>
      <xdr:sp macro="" textlink="">
        <xdr:nvSpPr>
          <xdr:cNvPr id="249" name="Line 19"/>
          <xdr:cNvSpPr>
            <a:spLocks noChangeShapeType="1"/>
          </xdr:cNvSpPr>
        </xdr:nvSpPr>
        <xdr:spPr bwMode="auto">
          <a:xfrm>
            <a:off x="104" y="3523"/>
            <a:ext cx="96"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50" name="Line 20"/>
          <xdr:cNvSpPr>
            <a:spLocks noChangeShapeType="1"/>
          </xdr:cNvSpPr>
        </xdr:nvSpPr>
        <xdr:spPr bwMode="auto">
          <a:xfrm>
            <a:off x="104" y="3524"/>
            <a:ext cx="0" cy="28"/>
          </a:xfrm>
          <a:prstGeom prst="line">
            <a:avLst/>
          </a:prstGeom>
          <a:noFill/>
          <a:ln w="9525">
            <a:solidFill>
              <a:srgbClr val="000000"/>
            </a:solidFill>
            <a:round/>
            <a:headEnd type="triangle" w="med" len="med"/>
            <a:tailEnd/>
          </a:ln>
          <a:extLst>
            <a:ext uri="{909E8E84-426E-40DD-AFC4-6F175D3DCCD1}">
              <a14:hiddenFill xmlns:a14="http://schemas.microsoft.com/office/drawing/2010/main">
                <a:noFill/>
              </a14:hiddenFill>
            </a:ext>
          </a:extLst>
        </xdr:spPr>
      </xdr:sp>
      <xdr:sp macro="" textlink="">
        <xdr:nvSpPr>
          <xdr:cNvPr id="251" name="Line 21"/>
          <xdr:cNvSpPr>
            <a:spLocks noChangeShapeType="1"/>
          </xdr:cNvSpPr>
        </xdr:nvSpPr>
        <xdr:spPr bwMode="auto">
          <a:xfrm>
            <a:off x="202" y="3522"/>
            <a:ext cx="0" cy="30"/>
          </a:xfrm>
          <a:prstGeom prst="line">
            <a:avLst/>
          </a:prstGeom>
          <a:noFill/>
          <a:ln w="9525">
            <a:solidFill>
              <a:srgbClr val="000000"/>
            </a:solidFill>
            <a:round/>
            <a:headEnd type="triangle" w="med" len="med"/>
            <a:tailEnd/>
          </a:ln>
          <a:extLst>
            <a:ext uri="{909E8E84-426E-40DD-AFC4-6F175D3DCCD1}">
              <a14:hiddenFill xmlns:a14="http://schemas.microsoft.com/office/drawing/2010/main">
                <a:noFill/>
              </a14:hiddenFill>
            </a:ext>
          </a:extLst>
        </xdr:spPr>
      </xdr:sp>
      <xdr:sp macro="" textlink="">
        <xdr:nvSpPr>
          <xdr:cNvPr id="252" name="Line 22"/>
          <xdr:cNvSpPr>
            <a:spLocks noChangeShapeType="1"/>
          </xdr:cNvSpPr>
        </xdr:nvSpPr>
        <xdr:spPr bwMode="auto">
          <a:xfrm flipV="1">
            <a:off x="106" y="3553"/>
            <a:ext cx="96" cy="2"/>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53" name="Line 23"/>
          <xdr:cNvSpPr>
            <a:spLocks noChangeShapeType="1"/>
          </xdr:cNvSpPr>
        </xdr:nvSpPr>
        <xdr:spPr bwMode="auto">
          <a:xfrm>
            <a:off x="153" y="3523"/>
            <a:ext cx="0" cy="28"/>
          </a:xfrm>
          <a:prstGeom prst="line">
            <a:avLst/>
          </a:prstGeom>
          <a:noFill/>
          <a:ln w="9525">
            <a:solidFill>
              <a:srgbClr val="000000"/>
            </a:solidFill>
            <a:round/>
            <a:headEnd type="triangle" w="med" len="med"/>
            <a:tailEnd/>
          </a:ln>
          <a:extLst>
            <a:ext uri="{909E8E84-426E-40DD-AFC4-6F175D3DCCD1}">
              <a14:hiddenFill xmlns:a14="http://schemas.microsoft.com/office/drawing/2010/main">
                <a:noFill/>
              </a14:hiddenFill>
            </a:ext>
          </a:extLst>
        </xdr:spPr>
      </xdr:sp>
    </xdr:grpSp>
    <xdr:clientData/>
  </xdr:twoCellAnchor>
  <xdr:twoCellAnchor>
    <xdr:from>
      <xdr:col>52</xdr:col>
      <xdr:colOff>114300</xdr:colOff>
      <xdr:row>484</xdr:row>
      <xdr:rowOff>57150</xdr:rowOff>
    </xdr:from>
    <xdr:to>
      <xdr:col>59</xdr:col>
      <xdr:colOff>114300</xdr:colOff>
      <xdr:row>487</xdr:row>
      <xdr:rowOff>66675</xdr:rowOff>
    </xdr:to>
    <xdr:grpSp>
      <xdr:nvGrpSpPr>
        <xdr:cNvPr id="260" name="Group 18"/>
        <xdr:cNvGrpSpPr>
          <a:grpSpLocks/>
        </xdr:cNvGrpSpPr>
      </xdr:nvGrpSpPr>
      <xdr:grpSpPr bwMode="auto">
        <a:xfrm>
          <a:off x="7981950" y="78867000"/>
          <a:ext cx="933450" cy="581025"/>
          <a:chOff x="104" y="3522"/>
          <a:chExt cx="98" cy="64"/>
        </a:xfrm>
      </xdr:grpSpPr>
      <xdr:sp macro="" textlink="">
        <xdr:nvSpPr>
          <xdr:cNvPr id="261" name="Line 19"/>
          <xdr:cNvSpPr>
            <a:spLocks noChangeShapeType="1"/>
          </xdr:cNvSpPr>
        </xdr:nvSpPr>
        <xdr:spPr bwMode="auto">
          <a:xfrm>
            <a:off x="104" y="3523"/>
            <a:ext cx="96"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62" name="Line 20"/>
          <xdr:cNvSpPr>
            <a:spLocks noChangeShapeType="1"/>
          </xdr:cNvSpPr>
        </xdr:nvSpPr>
        <xdr:spPr bwMode="auto">
          <a:xfrm>
            <a:off x="104" y="3524"/>
            <a:ext cx="0" cy="60"/>
          </a:xfrm>
          <a:prstGeom prst="line">
            <a:avLst/>
          </a:prstGeom>
          <a:noFill/>
          <a:ln w="9525">
            <a:solidFill>
              <a:srgbClr val="000000"/>
            </a:solidFill>
            <a:round/>
            <a:headEnd type="triangle" w="med" len="med"/>
            <a:tailEnd/>
          </a:ln>
          <a:extLst>
            <a:ext uri="{909E8E84-426E-40DD-AFC4-6F175D3DCCD1}">
              <a14:hiddenFill xmlns:a14="http://schemas.microsoft.com/office/drawing/2010/main">
                <a:noFill/>
              </a14:hiddenFill>
            </a:ext>
          </a:extLst>
        </xdr:spPr>
      </xdr:sp>
      <xdr:sp macro="" textlink="">
        <xdr:nvSpPr>
          <xdr:cNvPr id="263" name="Line 21"/>
          <xdr:cNvSpPr>
            <a:spLocks noChangeShapeType="1"/>
          </xdr:cNvSpPr>
        </xdr:nvSpPr>
        <xdr:spPr bwMode="auto">
          <a:xfrm>
            <a:off x="202" y="3522"/>
            <a:ext cx="0" cy="30"/>
          </a:xfrm>
          <a:prstGeom prst="line">
            <a:avLst/>
          </a:prstGeom>
          <a:noFill/>
          <a:ln w="9525">
            <a:solidFill>
              <a:srgbClr val="000000"/>
            </a:solidFill>
            <a:round/>
            <a:headEnd type="triangle" w="med" len="med"/>
            <a:tailEnd/>
          </a:ln>
          <a:extLst>
            <a:ext uri="{909E8E84-426E-40DD-AFC4-6F175D3DCCD1}">
              <a14:hiddenFill xmlns:a14="http://schemas.microsoft.com/office/drawing/2010/main">
                <a:noFill/>
              </a14:hiddenFill>
            </a:ext>
          </a:extLst>
        </xdr:spPr>
      </xdr:sp>
      <xdr:sp macro="" textlink="">
        <xdr:nvSpPr>
          <xdr:cNvPr id="264" name="Line 22"/>
          <xdr:cNvSpPr>
            <a:spLocks noChangeShapeType="1"/>
          </xdr:cNvSpPr>
        </xdr:nvSpPr>
        <xdr:spPr bwMode="auto">
          <a:xfrm flipV="1">
            <a:off x="104" y="3553"/>
            <a:ext cx="98" cy="33"/>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65" name="Line 23"/>
          <xdr:cNvSpPr>
            <a:spLocks noChangeShapeType="1"/>
          </xdr:cNvSpPr>
        </xdr:nvSpPr>
        <xdr:spPr bwMode="auto">
          <a:xfrm>
            <a:off x="153" y="3523"/>
            <a:ext cx="0" cy="44"/>
          </a:xfrm>
          <a:prstGeom prst="line">
            <a:avLst/>
          </a:prstGeom>
          <a:noFill/>
          <a:ln w="9525">
            <a:solidFill>
              <a:srgbClr val="000000"/>
            </a:solidFill>
            <a:round/>
            <a:headEnd type="triangle" w="med" len="med"/>
            <a:tailEnd/>
          </a:ln>
          <a:extLst>
            <a:ext uri="{909E8E84-426E-40DD-AFC4-6F175D3DCCD1}">
              <a14:hiddenFill xmlns:a14="http://schemas.microsoft.com/office/drawing/2010/main">
                <a:noFill/>
              </a14:hiddenFill>
            </a:ext>
          </a:extLst>
        </xdr:spPr>
      </xdr:sp>
    </xdr:grpSp>
    <xdr:clientData/>
  </xdr:twoCellAnchor>
  <xdr:twoCellAnchor>
    <xdr:from>
      <xdr:col>67</xdr:col>
      <xdr:colOff>114300</xdr:colOff>
      <xdr:row>484</xdr:row>
      <xdr:rowOff>57150</xdr:rowOff>
    </xdr:from>
    <xdr:to>
      <xdr:col>74</xdr:col>
      <xdr:colOff>114300</xdr:colOff>
      <xdr:row>487</xdr:row>
      <xdr:rowOff>66675</xdr:rowOff>
    </xdr:to>
    <xdr:grpSp>
      <xdr:nvGrpSpPr>
        <xdr:cNvPr id="266" name="Group 18"/>
        <xdr:cNvGrpSpPr>
          <a:grpSpLocks/>
        </xdr:cNvGrpSpPr>
      </xdr:nvGrpSpPr>
      <xdr:grpSpPr bwMode="auto">
        <a:xfrm>
          <a:off x="9982200" y="78867000"/>
          <a:ext cx="933450" cy="581025"/>
          <a:chOff x="104" y="3522"/>
          <a:chExt cx="98" cy="64"/>
        </a:xfrm>
      </xdr:grpSpPr>
      <xdr:sp macro="" textlink="">
        <xdr:nvSpPr>
          <xdr:cNvPr id="267" name="Line 19"/>
          <xdr:cNvSpPr>
            <a:spLocks noChangeShapeType="1"/>
          </xdr:cNvSpPr>
        </xdr:nvSpPr>
        <xdr:spPr bwMode="auto">
          <a:xfrm>
            <a:off x="104" y="3523"/>
            <a:ext cx="96"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68" name="Line 20"/>
          <xdr:cNvSpPr>
            <a:spLocks noChangeShapeType="1"/>
          </xdr:cNvSpPr>
        </xdr:nvSpPr>
        <xdr:spPr bwMode="auto">
          <a:xfrm>
            <a:off x="104" y="3524"/>
            <a:ext cx="0" cy="60"/>
          </a:xfrm>
          <a:prstGeom prst="line">
            <a:avLst/>
          </a:prstGeom>
          <a:noFill/>
          <a:ln w="9525">
            <a:solidFill>
              <a:srgbClr val="000000"/>
            </a:solidFill>
            <a:round/>
            <a:headEnd type="triangle" w="med" len="med"/>
            <a:tailEnd/>
          </a:ln>
          <a:extLst>
            <a:ext uri="{909E8E84-426E-40DD-AFC4-6F175D3DCCD1}">
              <a14:hiddenFill xmlns:a14="http://schemas.microsoft.com/office/drawing/2010/main">
                <a:noFill/>
              </a14:hiddenFill>
            </a:ext>
          </a:extLst>
        </xdr:spPr>
      </xdr:sp>
      <xdr:sp macro="" textlink="">
        <xdr:nvSpPr>
          <xdr:cNvPr id="269" name="Line 21"/>
          <xdr:cNvSpPr>
            <a:spLocks noChangeShapeType="1"/>
          </xdr:cNvSpPr>
        </xdr:nvSpPr>
        <xdr:spPr bwMode="auto">
          <a:xfrm>
            <a:off x="202" y="3522"/>
            <a:ext cx="0" cy="30"/>
          </a:xfrm>
          <a:prstGeom prst="line">
            <a:avLst/>
          </a:prstGeom>
          <a:noFill/>
          <a:ln w="9525">
            <a:solidFill>
              <a:srgbClr val="000000"/>
            </a:solidFill>
            <a:round/>
            <a:headEnd type="triangle" w="med" len="med"/>
            <a:tailEnd/>
          </a:ln>
          <a:extLst>
            <a:ext uri="{909E8E84-426E-40DD-AFC4-6F175D3DCCD1}">
              <a14:hiddenFill xmlns:a14="http://schemas.microsoft.com/office/drawing/2010/main">
                <a:noFill/>
              </a14:hiddenFill>
            </a:ext>
          </a:extLst>
        </xdr:spPr>
      </xdr:sp>
      <xdr:sp macro="" textlink="">
        <xdr:nvSpPr>
          <xdr:cNvPr id="270" name="Line 22"/>
          <xdr:cNvSpPr>
            <a:spLocks noChangeShapeType="1"/>
          </xdr:cNvSpPr>
        </xdr:nvSpPr>
        <xdr:spPr bwMode="auto">
          <a:xfrm flipV="1">
            <a:off x="104" y="3553"/>
            <a:ext cx="98" cy="33"/>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71" name="Line 23"/>
          <xdr:cNvSpPr>
            <a:spLocks noChangeShapeType="1"/>
          </xdr:cNvSpPr>
        </xdr:nvSpPr>
        <xdr:spPr bwMode="auto">
          <a:xfrm>
            <a:off x="153" y="3523"/>
            <a:ext cx="0" cy="44"/>
          </a:xfrm>
          <a:prstGeom prst="line">
            <a:avLst/>
          </a:prstGeom>
          <a:noFill/>
          <a:ln w="9525">
            <a:solidFill>
              <a:srgbClr val="000000"/>
            </a:solidFill>
            <a:round/>
            <a:headEnd type="triangle" w="med" len="med"/>
            <a:tailEnd/>
          </a:ln>
          <a:extLst>
            <a:ext uri="{909E8E84-426E-40DD-AFC4-6F175D3DCCD1}">
              <a14:hiddenFill xmlns:a14="http://schemas.microsoft.com/office/drawing/2010/main">
                <a:noFill/>
              </a14:hiddenFill>
            </a:ext>
          </a:extLst>
        </xdr:spPr>
      </xdr:sp>
    </xdr:grpSp>
    <xdr:clientData/>
  </xdr:twoCellAnchor>
  <xdr:twoCellAnchor>
    <xdr:from>
      <xdr:col>18</xdr:col>
      <xdr:colOff>123825</xdr:colOff>
      <xdr:row>352</xdr:row>
      <xdr:rowOff>1</xdr:rowOff>
    </xdr:from>
    <xdr:to>
      <xdr:col>23</xdr:col>
      <xdr:colOff>38100</xdr:colOff>
      <xdr:row>360</xdr:row>
      <xdr:rowOff>171451</xdr:rowOff>
    </xdr:to>
    <xdr:grpSp>
      <xdr:nvGrpSpPr>
        <xdr:cNvPr id="272" name="Group 77"/>
        <xdr:cNvGrpSpPr>
          <a:grpSpLocks/>
        </xdr:cNvGrpSpPr>
      </xdr:nvGrpSpPr>
      <xdr:grpSpPr bwMode="auto">
        <a:xfrm>
          <a:off x="2867025" y="54197251"/>
          <a:ext cx="676275" cy="1495425"/>
          <a:chOff x="509" y="1254"/>
          <a:chExt cx="71" cy="275"/>
        </a:xfrm>
      </xdr:grpSpPr>
      <xdr:sp macro="" textlink="">
        <xdr:nvSpPr>
          <xdr:cNvPr id="273" name="Line 78"/>
          <xdr:cNvSpPr>
            <a:spLocks noChangeShapeType="1"/>
          </xdr:cNvSpPr>
        </xdr:nvSpPr>
        <xdr:spPr bwMode="auto">
          <a:xfrm>
            <a:off x="511" y="1257"/>
            <a:ext cx="0" cy="271"/>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74" name="Line 79"/>
          <xdr:cNvSpPr>
            <a:spLocks noChangeShapeType="1"/>
          </xdr:cNvSpPr>
        </xdr:nvSpPr>
        <xdr:spPr bwMode="auto">
          <a:xfrm>
            <a:off x="511" y="1528"/>
            <a:ext cx="69" cy="0"/>
          </a:xfrm>
          <a:prstGeom prst="line">
            <a:avLst/>
          </a:prstGeom>
          <a:noFill/>
          <a:ln w="9525">
            <a:solidFill>
              <a:srgbClr val="000000"/>
            </a:solidFill>
            <a:round/>
            <a:headEnd type="triangle" w="med" len="med"/>
            <a:tailEnd/>
          </a:ln>
          <a:extLst>
            <a:ext uri="{909E8E84-426E-40DD-AFC4-6F175D3DCCD1}">
              <a14:hiddenFill xmlns:a14="http://schemas.microsoft.com/office/drawing/2010/main">
                <a:noFill/>
              </a14:hiddenFill>
            </a:ext>
          </a:extLst>
        </xdr:spPr>
      </xdr:sp>
      <xdr:sp macro="" textlink="">
        <xdr:nvSpPr>
          <xdr:cNvPr id="275" name="Line 80"/>
          <xdr:cNvSpPr>
            <a:spLocks noChangeShapeType="1"/>
          </xdr:cNvSpPr>
        </xdr:nvSpPr>
        <xdr:spPr bwMode="auto">
          <a:xfrm>
            <a:off x="511" y="1254"/>
            <a:ext cx="69" cy="2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76" name="Line 81"/>
          <xdr:cNvSpPr>
            <a:spLocks noChangeShapeType="1"/>
          </xdr:cNvSpPr>
        </xdr:nvSpPr>
        <xdr:spPr bwMode="auto">
          <a:xfrm flipH="1">
            <a:off x="509" y="1319"/>
            <a:ext cx="19"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sp macro="" textlink="">
        <xdr:nvSpPr>
          <xdr:cNvPr id="277" name="Line 82"/>
          <xdr:cNvSpPr>
            <a:spLocks noChangeShapeType="1"/>
          </xdr:cNvSpPr>
        </xdr:nvSpPr>
        <xdr:spPr bwMode="auto">
          <a:xfrm flipH="1">
            <a:off x="512" y="1361"/>
            <a:ext cx="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sp macro="" textlink="">
        <xdr:nvSpPr>
          <xdr:cNvPr id="278" name="Line 83"/>
          <xdr:cNvSpPr>
            <a:spLocks noChangeShapeType="1"/>
          </xdr:cNvSpPr>
        </xdr:nvSpPr>
        <xdr:spPr bwMode="auto">
          <a:xfrm flipH="1">
            <a:off x="512" y="1403"/>
            <a:ext cx="37"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sp macro="" textlink="">
        <xdr:nvSpPr>
          <xdr:cNvPr id="279" name="Line 84"/>
          <xdr:cNvSpPr>
            <a:spLocks noChangeShapeType="1"/>
          </xdr:cNvSpPr>
        </xdr:nvSpPr>
        <xdr:spPr bwMode="auto">
          <a:xfrm flipH="1">
            <a:off x="511" y="1444"/>
            <a:ext cx="49"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sp macro="" textlink="">
        <xdr:nvSpPr>
          <xdr:cNvPr id="280" name="Line 85"/>
          <xdr:cNvSpPr>
            <a:spLocks noChangeShapeType="1"/>
          </xdr:cNvSpPr>
        </xdr:nvSpPr>
        <xdr:spPr bwMode="auto">
          <a:xfrm flipH="1">
            <a:off x="510" y="1486"/>
            <a:ext cx="57"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grpSp>
    <xdr:clientData/>
  </xdr:twoCellAnchor>
  <xdr:twoCellAnchor>
    <xdr:from>
      <xdr:col>22</xdr:col>
      <xdr:colOff>47625</xdr:colOff>
      <xdr:row>99</xdr:row>
      <xdr:rowOff>161925</xdr:rowOff>
    </xdr:from>
    <xdr:to>
      <xdr:col>22</xdr:col>
      <xdr:colOff>47625</xdr:colOff>
      <xdr:row>101</xdr:row>
      <xdr:rowOff>121444</xdr:rowOff>
    </xdr:to>
    <xdr:cxnSp macro="">
      <xdr:nvCxnSpPr>
        <xdr:cNvPr id="282" name="Straight Arrow Connector 281"/>
        <xdr:cNvCxnSpPr/>
      </xdr:nvCxnSpPr>
      <xdr:spPr>
        <a:xfrm>
          <a:off x="3400425" y="17221200"/>
          <a:ext cx="0" cy="340519"/>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144379</xdr:colOff>
      <xdr:row>109</xdr:row>
      <xdr:rowOff>31081</xdr:rowOff>
    </xdr:from>
    <xdr:to>
      <xdr:col>28</xdr:col>
      <xdr:colOff>144379</xdr:colOff>
      <xdr:row>109</xdr:row>
      <xdr:rowOff>176084</xdr:rowOff>
    </xdr:to>
    <xdr:sp macro="" textlink="">
      <xdr:nvSpPr>
        <xdr:cNvPr id="285" name="Line 91"/>
        <xdr:cNvSpPr>
          <a:spLocks noChangeShapeType="1"/>
        </xdr:cNvSpPr>
      </xdr:nvSpPr>
      <xdr:spPr bwMode="auto">
        <a:xfrm flipH="1">
          <a:off x="4355432" y="19025936"/>
          <a:ext cx="0" cy="145003"/>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7</xdr:col>
      <xdr:colOff>47625</xdr:colOff>
      <xdr:row>96</xdr:row>
      <xdr:rowOff>0</xdr:rowOff>
    </xdr:from>
    <xdr:to>
      <xdr:col>36</xdr:col>
      <xdr:colOff>66675</xdr:colOff>
      <xdr:row>118</xdr:row>
      <xdr:rowOff>73596</xdr:rowOff>
    </xdr:to>
    <xdr:grpSp>
      <xdr:nvGrpSpPr>
        <xdr:cNvPr id="61" name="Group 60"/>
        <xdr:cNvGrpSpPr/>
      </xdr:nvGrpSpPr>
      <xdr:grpSpPr>
        <a:xfrm>
          <a:off x="1114425" y="16211550"/>
          <a:ext cx="4438650" cy="4293171"/>
          <a:chOff x="1114425" y="16211550"/>
          <a:chExt cx="4438650" cy="4293171"/>
        </a:xfrm>
      </xdr:grpSpPr>
      <xdr:sp macro="" textlink="">
        <xdr:nvSpPr>
          <xdr:cNvPr id="39" name="Line 93"/>
          <xdr:cNvSpPr>
            <a:spLocks noChangeShapeType="1"/>
          </xdr:cNvSpPr>
        </xdr:nvSpPr>
        <xdr:spPr bwMode="auto">
          <a:xfrm>
            <a:off x="3276600" y="16611599"/>
            <a:ext cx="200025" cy="2124076"/>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81" name="Line 91"/>
          <xdr:cNvSpPr>
            <a:spLocks noChangeShapeType="1"/>
          </xdr:cNvSpPr>
        </xdr:nvSpPr>
        <xdr:spPr bwMode="auto">
          <a:xfrm flipH="1">
            <a:off x="3476625" y="16602075"/>
            <a:ext cx="0" cy="211455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grpSp>
        <xdr:nvGrpSpPr>
          <xdr:cNvPr id="40" name="Group 39"/>
          <xdr:cNvGrpSpPr/>
        </xdr:nvGrpSpPr>
        <xdr:grpSpPr>
          <a:xfrm>
            <a:off x="1114425" y="16211550"/>
            <a:ext cx="4438650" cy="4293171"/>
            <a:chOff x="1114425" y="16211550"/>
            <a:chExt cx="4438650" cy="4293171"/>
          </a:xfrm>
        </xdr:grpSpPr>
        <xdr:sp macro="" textlink="">
          <xdr:nvSpPr>
            <xdr:cNvPr id="12" name="Line 62"/>
            <xdr:cNvSpPr>
              <a:spLocks noChangeShapeType="1"/>
            </xdr:cNvSpPr>
          </xdr:nvSpPr>
          <xdr:spPr bwMode="auto">
            <a:xfrm>
              <a:off x="1114425" y="17802224"/>
              <a:ext cx="0" cy="8640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sp macro="" textlink="">
          <xdr:nvSpPr>
            <xdr:cNvPr id="13" name="Line 63"/>
            <xdr:cNvSpPr>
              <a:spLocks noChangeShapeType="1"/>
            </xdr:cNvSpPr>
          </xdr:nvSpPr>
          <xdr:spPr bwMode="auto">
            <a:xfrm flipV="1">
              <a:off x="1114425" y="19202400"/>
              <a:ext cx="0" cy="1905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sp macro="" textlink="">
          <xdr:nvSpPr>
            <xdr:cNvPr id="14" name="Line 65"/>
            <xdr:cNvSpPr>
              <a:spLocks noChangeShapeType="1"/>
            </xdr:cNvSpPr>
          </xdr:nvSpPr>
          <xdr:spPr bwMode="auto">
            <a:xfrm flipV="1">
              <a:off x="1123950" y="16621125"/>
              <a:ext cx="0" cy="8858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grpSp>
          <xdr:nvGrpSpPr>
            <xdr:cNvPr id="15" name="Group 66"/>
            <xdr:cNvGrpSpPr>
              <a:grpSpLocks/>
            </xdr:cNvGrpSpPr>
          </xdr:nvGrpSpPr>
          <xdr:grpSpPr bwMode="auto">
            <a:xfrm>
              <a:off x="1978935" y="19992969"/>
              <a:ext cx="2354939" cy="511752"/>
              <a:chOff x="188" y="1736"/>
              <a:chExt cx="217" cy="84"/>
            </a:xfrm>
          </xdr:grpSpPr>
          <xdr:sp macro="" textlink="">
            <xdr:nvSpPr>
              <xdr:cNvPr id="16" name="Line 67"/>
              <xdr:cNvSpPr>
                <a:spLocks noChangeShapeType="1"/>
              </xdr:cNvSpPr>
            </xdr:nvSpPr>
            <xdr:spPr bwMode="auto">
              <a:xfrm>
                <a:off x="190" y="1737"/>
                <a:ext cx="213"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18" name="Line 69"/>
              <xdr:cNvSpPr>
                <a:spLocks noChangeShapeType="1"/>
              </xdr:cNvSpPr>
            </xdr:nvSpPr>
            <xdr:spPr bwMode="auto">
              <a:xfrm>
                <a:off x="405" y="1738"/>
                <a:ext cx="0" cy="43"/>
              </a:xfrm>
              <a:prstGeom prst="line">
                <a:avLst/>
              </a:prstGeom>
              <a:noFill/>
              <a:ln w="9525">
                <a:solidFill>
                  <a:srgbClr val="000000"/>
                </a:solidFill>
                <a:round/>
                <a:headEnd type="triangle" w="med" len="med"/>
                <a:tailEnd/>
              </a:ln>
              <a:extLst>
                <a:ext uri="{909E8E84-426E-40DD-AFC4-6F175D3DCCD1}">
                  <a14:hiddenFill xmlns:a14="http://schemas.microsoft.com/office/drawing/2010/main">
                    <a:noFill/>
                  </a14:hiddenFill>
                </a:ext>
              </a:extLst>
            </xdr:spPr>
          </xdr:sp>
          <xdr:sp macro="" textlink="">
            <xdr:nvSpPr>
              <xdr:cNvPr id="19" name="Line 70"/>
              <xdr:cNvSpPr>
                <a:spLocks noChangeShapeType="1"/>
              </xdr:cNvSpPr>
            </xdr:nvSpPr>
            <xdr:spPr bwMode="auto">
              <a:xfrm flipV="1">
                <a:off x="188" y="1782"/>
                <a:ext cx="216" cy="3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 name="Line 71"/>
              <xdr:cNvSpPr>
                <a:spLocks noChangeShapeType="1"/>
              </xdr:cNvSpPr>
            </xdr:nvSpPr>
            <xdr:spPr bwMode="auto">
              <a:xfrm flipV="1">
                <a:off x="189" y="1737"/>
                <a:ext cx="0" cy="82"/>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sp macro="" textlink="">
            <xdr:nvSpPr>
              <xdr:cNvPr id="21" name="Line 72"/>
              <xdr:cNvSpPr>
                <a:spLocks noChangeShapeType="1"/>
              </xdr:cNvSpPr>
            </xdr:nvSpPr>
            <xdr:spPr bwMode="auto">
              <a:xfrm flipV="1">
                <a:off x="230" y="1737"/>
                <a:ext cx="0" cy="73"/>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sp macro="" textlink="">
            <xdr:nvSpPr>
              <xdr:cNvPr id="22" name="Line 73"/>
              <xdr:cNvSpPr>
                <a:spLocks noChangeShapeType="1"/>
              </xdr:cNvSpPr>
            </xdr:nvSpPr>
            <xdr:spPr bwMode="auto">
              <a:xfrm flipV="1">
                <a:off x="272" y="1736"/>
                <a:ext cx="0" cy="68"/>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sp macro="" textlink="">
            <xdr:nvSpPr>
              <xdr:cNvPr id="23" name="Line 74"/>
              <xdr:cNvSpPr>
                <a:spLocks noChangeShapeType="1"/>
              </xdr:cNvSpPr>
            </xdr:nvSpPr>
            <xdr:spPr bwMode="auto">
              <a:xfrm flipV="1">
                <a:off x="314" y="1738"/>
                <a:ext cx="0" cy="59"/>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sp macro="" textlink="">
            <xdr:nvSpPr>
              <xdr:cNvPr id="24" name="Line 75"/>
              <xdr:cNvSpPr>
                <a:spLocks noChangeShapeType="1"/>
              </xdr:cNvSpPr>
            </xdr:nvSpPr>
            <xdr:spPr bwMode="auto">
              <a:xfrm flipV="1">
                <a:off x="356" y="1736"/>
                <a:ext cx="0" cy="51"/>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grpSp>
        <xdr:sp macro="" textlink="">
          <xdr:nvSpPr>
            <xdr:cNvPr id="25" name="Line 76"/>
            <xdr:cNvSpPr>
              <a:spLocks noChangeShapeType="1"/>
            </xdr:cNvSpPr>
          </xdr:nvSpPr>
          <xdr:spPr bwMode="auto">
            <a:xfrm>
              <a:off x="3001203" y="17545050"/>
              <a:ext cx="667578" cy="0"/>
            </a:xfrm>
            <a:prstGeom prst="line">
              <a:avLst/>
            </a:prstGeom>
            <a:noFill/>
            <a:ln w="0">
              <a:solidFill>
                <a:srgbClr val="000000"/>
              </a:solidFill>
              <a:round/>
              <a:headEnd type="oval" w="sm" len="med"/>
              <a:tailEnd/>
            </a:ln>
            <a:extLst>
              <a:ext uri="{909E8E84-426E-40DD-AFC4-6F175D3DCCD1}">
                <a14:hiddenFill xmlns:a14="http://schemas.microsoft.com/office/drawing/2010/main">
                  <a:noFill/>
                </a14:hiddenFill>
              </a:ext>
            </a:extLst>
          </xdr:spPr>
        </xdr:sp>
        <xdr:grpSp>
          <xdr:nvGrpSpPr>
            <xdr:cNvPr id="26" name="Group 77"/>
            <xdr:cNvGrpSpPr>
              <a:grpSpLocks/>
            </xdr:cNvGrpSpPr>
          </xdr:nvGrpSpPr>
          <xdr:grpSpPr bwMode="auto">
            <a:xfrm>
              <a:off x="4781550" y="16592550"/>
              <a:ext cx="771525" cy="2600325"/>
              <a:chOff x="509" y="1254"/>
              <a:chExt cx="71" cy="275"/>
            </a:xfrm>
          </xdr:grpSpPr>
          <xdr:sp macro="" textlink="">
            <xdr:nvSpPr>
              <xdr:cNvPr id="27" name="Line 78"/>
              <xdr:cNvSpPr>
                <a:spLocks noChangeShapeType="1"/>
              </xdr:cNvSpPr>
            </xdr:nvSpPr>
            <xdr:spPr bwMode="auto">
              <a:xfrm>
                <a:off x="511" y="1257"/>
                <a:ext cx="0" cy="271"/>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8" name="Line 79"/>
              <xdr:cNvSpPr>
                <a:spLocks noChangeShapeType="1"/>
              </xdr:cNvSpPr>
            </xdr:nvSpPr>
            <xdr:spPr bwMode="auto">
              <a:xfrm>
                <a:off x="511" y="1528"/>
                <a:ext cx="69" cy="0"/>
              </a:xfrm>
              <a:prstGeom prst="line">
                <a:avLst/>
              </a:prstGeom>
              <a:noFill/>
              <a:ln w="9525">
                <a:solidFill>
                  <a:srgbClr val="000000"/>
                </a:solidFill>
                <a:round/>
                <a:headEnd type="triangle" w="med" len="med"/>
                <a:tailEnd/>
              </a:ln>
              <a:extLst>
                <a:ext uri="{909E8E84-426E-40DD-AFC4-6F175D3DCCD1}">
                  <a14:hiddenFill xmlns:a14="http://schemas.microsoft.com/office/drawing/2010/main">
                    <a:noFill/>
                  </a14:hiddenFill>
                </a:ext>
              </a:extLst>
            </xdr:spPr>
          </xdr:sp>
          <xdr:sp macro="" textlink="">
            <xdr:nvSpPr>
              <xdr:cNvPr id="29" name="Line 80"/>
              <xdr:cNvSpPr>
                <a:spLocks noChangeShapeType="1"/>
              </xdr:cNvSpPr>
            </xdr:nvSpPr>
            <xdr:spPr bwMode="auto">
              <a:xfrm>
                <a:off x="511" y="1254"/>
                <a:ext cx="69" cy="2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0" name="Line 81"/>
              <xdr:cNvSpPr>
                <a:spLocks noChangeShapeType="1"/>
              </xdr:cNvSpPr>
            </xdr:nvSpPr>
            <xdr:spPr bwMode="auto">
              <a:xfrm flipH="1">
                <a:off x="509" y="1319"/>
                <a:ext cx="19"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sp macro="" textlink="">
            <xdr:nvSpPr>
              <xdr:cNvPr id="31" name="Line 82"/>
              <xdr:cNvSpPr>
                <a:spLocks noChangeShapeType="1"/>
              </xdr:cNvSpPr>
            </xdr:nvSpPr>
            <xdr:spPr bwMode="auto">
              <a:xfrm flipH="1">
                <a:off x="512" y="1361"/>
                <a:ext cx="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sp macro="" textlink="">
            <xdr:nvSpPr>
              <xdr:cNvPr id="32" name="Line 83"/>
              <xdr:cNvSpPr>
                <a:spLocks noChangeShapeType="1"/>
              </xdr:cNvSpPr>
            </xdr:nvSpPr>
            <xdr:spPr bwMode="auto">
              <a:xfrm flipH="1">
                <a:off x="512" y="1403"/>
                <a:ext cx="37"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sp macro="" textlink="">
            <xdr:nvSpPr>
              <xdr:cNvPr id="33" name="Line 84"/>
              <xdr:cNvSpPr>
                <a:spLocks noChangeShapeType="1"/>
              </xdr:cNvSpPr>
            </xdr:nvSpPr>
            <xdr:spPr bwMode="auto">
              <a:xfrm flipH="1">
                <a:off x="511" y="1444"/>
                <a:ext cx="49"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sp macro="" textlink="">
            <xdr:nvSpPr>
              <xdr:cNvPr id="34" name="Line 85"/>
              <xdr:cNvSpPr>
                <a:spLocks noChangeShapeType="1"/>
              </xdr:cNvSpPr>
            </xdr:nvSpPr>
            <xdr:spPr bwMode="auto">
              <a:xfrm flipH="1">
                <a:off x="510" y="1486"/>
                <a:ext cx="57"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grpSp>
        <xdr:sp macro="" textlink="">
          <xdr:nvSpPr>
            <xdr:cNvPr id="35" name="Line 88"/>
            <xdr:cNvSpPr>
              <a:spLocks noChangeShapeType="1"/>
            </xdr:cNvSpPr>
          </xdr:nvSpPr>
          <xdr:spPr bwMode="auto">
            <a:xfrm>
              <a:off x="2846733" y="16600832"/>
              <a:ext cx="4320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6" name="Line 90"/>
            <xdr:cNvSpPr>
              <a:spLocks noChangeShapeType="1"/>
            </xdr:cNvSpPr>
          </xdr:nvSpPr>
          <xdr:spPr bwMode="auto">
            <a:xfrm>
              <a:off x="3476625" y="18726150"/>
              <a:ext cx="928575" cy="112986"/>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7" name="Line 91"/>
            <xdr:cNvSpPr>
              <a:spLocks noChangeShapeType="1"/>
            </xdr:cNvSpPr>
          </xdr:nvSpPr>
          <xdr:spPr bwMode="auto">
            <a:xfrm>
              <a:off x="1971675" y="19183350"/>
              <a:ext cx="24480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8" name="Line 92"/>
            <xdr:cNvSpPr>
              <a:spLocks noChangeShapeType="1"/>
            </xdr:cNvSpPr>
          </xdr:nvSpPr>
          <xdr:spPr bwMode="auto">
            <a:xfrm>
              <a:off x="2867436" y="16609115"/>
              <a:ext cx="9113" cy="210751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41" name="Line 95"/>
            <xdr:cNvSpPr>
              <a:spLocks noChangeShapeType="1"/>
            </xdr:cNvSpPr>
          </xdr:nvSpPr>
          <xdr:spPr bwMode="auto">
            <a:xfrm flipH="1">
              <a:off x="1981199" y="18864755"/>
              <a:ext cx="7883" cy="33764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45" name="Line 99"/>
            <xdr:cNvSpPr>
              <a:spLocks noChangeShapeType="1"/>
            </xdr:cNvSpPr>
          </xdr:nvSpPr>
          <xdr:spPr bwMode="auto">
            <a:xfrm>
              <a:off x="2676525" y="19478625"/>
              <a:ext cx="21907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sp macro="" textlink="">
          <xdr:nvSpPr>
            <xdr:cNvPr id="46" name="Line 100"/>
            <xdr:cNvSpPr>
              <a:spLocks noChangeShapeType="1"/>
            </xdr:cNvSpPr>
          </xdr:nvSpPr>
          <xdr:spPr bwMode="auto">
            <a:xfrm flipH="1">
              <a:off x="1990724" y="19488150"/>
              <a:ext cx="2880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sp macro="" textlink="">
          <xdr:nvSpPr>
            <xdr:cNvPr id="47" name="Line 101"/>
            <xdr:cNvSpPr>
              <a:spLocks noChangeShapeType="1"/>
            </xdr:cNvSpPr>
          </xdr:nvSpPr>
          <xdr:spPr bwMode="auto">
            <a:xfrm>
              <a:off x="4219575" y="19488150"/>
              <a:ext cx="2160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sp macro="" textlink="">
          <xdr:nvSpPr>
            <xdr:cNvPr id="48" name="Line 102"/>
            <xdr:cNvSpPr>
              <a:spLocks noChangeShapeType="1"/>
            </xdr:cNvSpPr>
          </xdr:nvSpPr>
          <xdr:spPr bwMode="auto">
            <a:xfrm flipH="1">
              <a:off x="3543300" y="19497675"/>
              <a:ext cx="2160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sp macro="" textlink="">
          <xdr:nvSpPr>
            <xdr:cNvPr id="49" name="Line 103"/>
            <xdr:cNvSpPr>
              <a:spLocks noChangeShapeType="1"/>
            </xdr:cNvSpPr>
          </xdr:nvSpPr>
          <xdr:spPr bwMode="auto">
            <a:xfrm>
              <a:off x="3619500" y="19697700"/>
              <a:ext cx="7920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sp macro="" textlink="">
          <xdr:nvSpPr>
            <xdr:cNvPr id="50" name="Line 104"/>
            <xdr:cNvSpPr>
              <a:spLocks noChangeShapeType="1"/>
            </xdr:cNvSpPr>
          </xdr:nvSpPr>
          <xdr:spPr bwMode="auto">
            <a:xfrm flipH="1">
              <a:off x="1962150" y="19678650"/>
              <a:ext cx="7920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grpSp>
          <xdr:nvGrpSpPr>
            <xdr:cNvPr id="51" name="Group 105"/>
            <xdr:cNvGrpSpPr>
              <a:grpSpLocks/>
            </xdr:cNvGrpSpPr>
          </xdr:nvGrpSpPr>
          <xdr:grpSpPr bwMode="auto">
            <a:xfrm>
              <a:off x="1438275" y="18116550"/>
              <a:ext cx="400050" cy="190500"/>
              <a:chOff x="173" y="1381"/>
              <a:chExt cx="36" cy="20"/>
            </a:xfrm>
          </xdr:grpSpPr>
          <xdr:sp macro="" textlink="">
            <xdr:nvSpPr>
              <xdr:cNvPr id="52" name="Line 106"/>
              <xdr:cNvSpPr>
                <a:spLocks noChangeShapeType="1"/>
              </xdr:cNvSpPr>
            </xdr:nvSpPr>
            <xdr:spPr bwMode="auto">
              <a:xfrm flipH="1">
                <a:off x="173" y="1382"/>
                <a:ext cx="13" cy="17"/>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53" name="Line 107"/>
              <xdr:cNvSpPr>
                <a:spLocks noChangeShapeType="1"/>
              </xdr:cNvSpPr>
            </xdr:nvSpPr>
            <xdr:spPr bwMode="auto">
              <a:xfrm flipH="1">
                <a:off x="178" y="1383"/>
                <a:ext cx="15" cy="1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54" name="Line 108"/>
              <xdr:cNvSpPr>
                <a:spLocks noChangeShapeType="1"/>
              </xdr:cNvSpPr>
            </xdr:nvSpPr>
            <xdr:spPr bwMode="auto">
              <a:xfrm>
                <a:off x="185" y="1381"/>
                <a:ext cx="8"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55" name="Line 109"/>
              <xdr:cNvSpPr>
                <a:spLocks noChangeShapeType="1"/>
              </xdr:cNvSpPr>
            </xdr:nvSpPr>
            <xdr:spPr bwMode="auto">
              <a:xfrm>
                <a:off x="193" y="1382"/>
                <a:ext cx="9" cy="19"/>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56" name="Line 110"/>
              <xdr:cNvSpPr>
                <a:spLocks noChangeShapeType="1"/>
              </xdr:cNvSpPr>
            </xdr:nvSpPr>
            <xdr:spPr bwMode="auto">
              <a:xfrm>
                <a:off x="200" y="1382"/>
                <a:ext cx="9" cy="1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xnSp macro="">
          <xdr:nvCxnSpPr>
            <xdr:cNvPr id="57" name="Straight Connector 56"/>
            <xdr:cNvCxnSpPr>
              <a:stCxn id="38" idx="1"/>
            </xdr:cNvCxnSpPr>
          </xdr:nvCxnSpPr>
          <xdr:spPr>
            <a:xfrm flipH="1">
              <a:off x="1981203" y="18716625"/>
              <a:ext cx="895346" cy="152400"/>
            </a:xfrm>
            <a:prstGeom prst="line">
              <a:avLst/>
            </a:prstGeom>
          </xdr:spPr>
          <xdr:style>
            <a:lnRef idx="1">
              <a:schemeClr val="dk1"/>
            </a:lnRef>
            <a:fillRef idx="0">
              <a:schemeClr val="dk1"/>
            </a:fillRef>
            <a:effectRef idx="0">
              <a:schemeClr val="dk1"/>
            </a:effectRef>
            <a:fontRef idx="minor">
              <a:schemeClr val="tx1"/>
            </a:fontRef>
          </xdr:style>
        </xdr:cxnSp>
        <xdr:cxnSp macro="">
          <xdr:nvCxnSpPr>
            <xdr:cNvPr id="58" name="Straight Arrow Connector 57"/>
            <xdr:cNvCxnSpPr/>
          </xdr:nvCxnSpPr>
          <xdr:spPr>
            <a:xfrm flipV="1">
              <a:off x="1485900" y="18268949"/>
              <a:ext cx="0" cy="432000"/>
            </a:xfrm>
            <a:prstGeom prst="straightConnector1">
              <a:avLst/>
            </a:prstGeom>
            <a:ln>
              <a:headEnd type="none" w="med" len="med"/>
              <a:tailEnd type="triangle" w="med" len="med"/>
            </a:ln>
          </xdr:spPr>
          <xdr:style>
            <a:lnRef idx="1">
              <a:schemeClr val="dk1"/>
            </a:lnRef>
            <a:fillRef idx="0">
              <a:schemeClr val="dk1"/>
            </a:fillRef>
            <a:effectRef idx="0">
              <a:schemeClr val="dk1"/>
            </a:effectRef>
            <a:fontRef idx="minor">
              <a:schemeClr val="tx1"/>
            </a:fontRef>
          </xdr:style>
        </xdr:cxnSp>
        <xdr:cxnSp macro="">
          <xdr:nvCxnSpPr>
            <xdr:cNvPr id="59" name="Straight Arrow Connector 58"/>
            <xdr:cNvCxnSpPr/>
          </xdr:nvCxnSpPr>
          <xdr:spPr>
            <a:xfrm>
              <a:off x="1485900" y="18849975"/>
              <a:ext cx="0" cy="333375"/>
            </a:xfrm>
            <a:prstGeom prst="straightConnector1">
              <a:avLst/>
            </a:prstGeom>
            <a:ln>
              <a:headEnd type="none" w="med" len="med"/>
              <a:tailEnd type="triangle" w="med" len="med"/>
            </a:ln>
          </xdr:spPr>
          <xdr:style>
            <a:lnRef idx="1">
              <a:schemeClr val="dk1"/>
            </a:lnRef>
            <a:fillRef idx="0">
              <a:schemeClr val="dk1"/>
            </a:fillRef>
            <a:effectRef idx="0">
              <a:schemeClr val="dk1"/>
            </a:effectRef>
            <a:fontRef idx="minor">
              <a:schemeClr val="tx1"/>
            </a:fontRef>
          </xdr:style>
        </xdr:cxnSp>
        <xdr:cxnSp macro="">
          <xdr:nvCxnSpPr>
            <xdr:cNvPr id="64" name="Straight Arrow Connector 63"/>
            <xdr:cNvCxnSpPr/>
          </xdr:nvCxnSpPr>
          <xdr:spPr>
            <a:xfrm>
              <a:off x="3011556" y="17594745"/>
              <a:ext cx="0" cy="340519"/>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xnSp macro="">
          <xdr:nvCxnSpPr>
            <xdr:cNvPr id="66" name="Straight Arrow Connector 65"/>
            <xdr:cNvCxnSpPr/>
          </xdr:nvCxnSpPr>
          <xdr:spPr>
            <a:xfrm>
              <a:off x="3380776" y="18656105"/>
              <a:ext cx="0" cy="359569"/>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xnSp macro="">
          <xdr:nvCxnSpPr>
            <xdr:cNvPr id="67" name="Straight Arrow Connector 66"/>
            <xdr:cNvCxnSpPr/>
          </xdr:nvCxnSpPr>
          <xdr:spPr>
            <a:xfrm>
              <a:off x="3781839" y="17627875"/>
              <a:ext cx="0" cy="340519"/>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80" name="Line 90"/>
            <xdr:cNvSpPr>
              <a:spLocks noChangeShapeType="1"/>
            </xdr:cNvSpPr>
          </xdr:nvSpPr>
          <xdr:spPr bwMode="auto">
            <a:xfrm flipV="1">
              <a:off x="3295650" y="16211550"/>
              <a:ext cx="1295400" cy="39052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83" name="Line 91"/>
            <xdr:cNvSpPr>
              <a:spLocks noChangeShapeType="1"/>
            </xdr:cNvSpPr>
          </xdr:nvSpPr>
          <xdr:spPr bwMode="auto">
            <a:xfrm flipV="1">
              <a:off x="1981199" y="18852274"/>
              <a:ext cx="2448000" cy="45326"/>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sp macro="" textlink="">
          <xdr:nvSpPr>
            <xdr:cNvPr id="85" name="Line 91"/>
            <xdr:cNvSpPr>
              <a:spLocks noChangeShapeType="1"/>
            </xdr:cNvSpPr>
          </xdr:nvSpPr>
          <xdr:spPr bwMode="auto">
            <a:xfrm>
              <a:off x="3473340" y="18720894"/>
              <a:ext cx="0" cy="137949"/>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sp macro="" textlink="">
          <xdr:nvSpPr>
            <xdr:cNvPr id="86" name="Line 91"/>
            <xdr:cNvSpPr>
              <a:spLocks noChangeShapeType="1"/>
            </xdr:cNvSpPr>
          </xdr:nvSpPr>
          <xdr:spPr bwMode="auto">
            <a:xfrm>
              <a:off x="2854544" y="18733376"/>
              <a:ext cx="0" cy="137949"/>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sp macro="" textlink="">
          <xdr:nvSpPr>
            <xdr:cNvPr id="82" name="Line 91"/>
            <xdr:cNvSpPr>
              <a:spLocks noChangeShapeType="1"/>
            </xdr:cNvSpPr>
          </xdr:nvSpPr>
          <xdr:spPr bwMode="auto">
            <a:xfrm flipH="1">
              <a:off x="3286125" y="16611600"/>
              <a:ext cx="0" cy="211455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sp macro="" textlink="">
          <xdr:nvSpPr>
            <xdr:cNvPr id="184" name="Line 90"/>
            <xdr:cNvSpPr>
              <a:spLocks noChangeShapeType="1"/>
            </xdr:cNvSpPr>
          </xdr:nvSpPr>
          <xdr:spPr bwMode="auto">
            <a:xfrm>
              <a:off x="3286125" y="16602073"/>
              <a:ext cx="1152000" cy="2"/>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187" name="Line 65"/>
            <xdr:cNvSpPr>
              <a:spLocks noChangeShapeType="1"/>
            </xdr:cNvSpPr>
          </xdr:nvSpPr>
          <xdr:spPr bwMode="auto">
            <a:xfrm flipV="1">
              <a:off x="4467225" y="16230599"/>
              <a:ext cx="0" cy="2592000"/>
            </a:xfrm>
            <a:prstGeom prst="line">
              <a:avLst/>
            </a:prstGeom>
            <a:noFill/>
            <a:ln w="9525">
              <a:solidFill>
                <a:srgbClr val="000000"/>
              </a:solidFill>
              <a:round/>
              <a:headEnd type="triangle" w="med" len="med"/>
              <a:tailEnd type="triangle" w="med" len="med"/>
            </a:ln>
            <a:extLst>
              <a:ext uri="{909E8E84-426E-40DD-AFC4-6F175D3DCCD1}">
                <a14:hiddenFill xmlns:a14="http://schemas.microsoft.com/office/drawing/2010/main">
                  <a:noFill/>
                </a14:hiddenFill>
              </a:ext>
            </a:extLst>
          </xdr:spPr>
        </xdr:sp>
        <xdr:cxnSp macro="">
          <xdr:nvCxnSpPr>
            <xdr:cNvPr id="246" name="Straight Arrow Connector 245"/>
            <xdr:cNvCxnSpPr/>
          </xdr:nvCxnSpPr>
          <xdr:spPr>
            <a:xfrm>
              <a:off x="4448175" y="18878550"/>
              <a:ext cx="0" cy="333375"/>
            </a:xfrm>
            <a:prstGeom prst="straightConnector1">
              <a:avLst/>
            </a:prstGeom>
            <a:ln>
              <a:headEnd type="triangle" w="med" len="med"/>
              <a:tailEnd type="triangle" w="med" len="med"/>
            </a:ln>
          </xdr:spPr>
          <xdr:style>
            <a:lnRef idx="1">
              <a:schemeClr val="dk1"/>
            </a:lnRef>
            <a:fillRef idx="0">
              <a:schemeClr val="dk1"/>
            </a:fillRef>
            <a:effectRef idx="0">
              <a:schemeClr val="dk1"/>
            </a:effectRef>
            <a:fontRef idx="minor">
              <a:schemeClr val="tx1"/>
            </a:fontRef>
          </xdr:style>
        </xdr:cxnSp>
        <xdr:sp macro="" textlink="">
          <xdr:nvSpPr>
            <xdr:cNvPr id="247" name="Line 65"/>
            <xdr:cNvSpPr>
              <a:spLocks noChangeShapeType="1"/>
            </xdr:cNvSpPr>
          </xdr:nvSpPr>
          <xdr:spPr bwMode="auto">
            <a:xfrm flipV="1">
              <a:off x="2400300" y="16602075"/>
              <a:ext cx="0" cy="1476000"/>
            </a:xfrm>
            <a:prstGeom prst="line">
              <a:avLst/>
            </a:prstGeom>
            <a:noFill/>
            <a:ln w="9525">
              <a:solidFill>
                <a:srgbClr val="000000"/>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83" name="Line 91"/>
            <xdr:cNvSpPr>
              <a:spLocks noChangeShapeType="1"/>
            </xdr:cNvSpPr>
          </xdr:nvSpPr>
          <xdr:spPr bwMode="auto">
            <a:xfrm flipV="1">
              <a:off x="3505200" y="18716625"/>
              <a:ext cx="89535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sp macro="" textlink="">
          <xdr:nvSpPr>
            <xdr:cNvPr id="284" name="Line 91"/>
            <xdr:cNvSpPr>
              <a:spLocks noChangeShapeType="1"/>
            </xdr:cNvSpPr>
          </xdr:nvSpPr>
          <xdr:spPr bwMode="auto">
            <a:xfrm flipV="1">
              <a:off x="1981200" y="18707100"/>
              <a:ext cx="89535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sp macro="" textlink="">
          <xdr:nvSpPr>
            <xdr:cNvPr id="286" name="Line 91"/>
            <xdr:cNvSpPr>
              <a:spLocks noChangeShapeType="1"/>
            </xdr:cNvSpPr>
          </xdr:nvSpPr>
          <xdr:spPr bwMode="auto">
            <a:xfrm flipH="1">
              <a:off x="1986212" y="18728155"/>
              <a:ext cx="0" cy="145003"/>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xnSp macro="">
          <xdr:nvCxnSpPr>
            <xdr:cNvPr id="289" name="Straight Arrow Connector 288"/>
            <xdr:cNvCxnSpPr/>
          </xdr:nvCxnSpPr>
          <xdr:spPr>
            <a:xfrm>
              <a:off x="2428875" y="18011775"/>
              <a:ext cx="0" cy="340519"/>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grpSp>
    </xdr:grpSp>
    <xdr:clientData/>
  </xdr:twoCellAnchor>
  <xdr:twoCellAnchor>
    <xdr:from>
      <xdr:col>29</xdr:col>
      <xdr:colOff>85725</xdr:colOff>
      <xdr:row>14</xdr:row>
      <xdr:rowOff>66675</xdr:rowOff>
    </xdr:from>
    <xdr:to>
      <xdr:col>29</xdr:col>
      <xdr:colOff>85725</xdr:colOff>
      <xdr:row>15</xdr:row>
      <xdr:rowOff>468</xdr:rowOff>
    </xdr:to>
    <xdr:cxnSp macro="">
      <xdr:nvCxnSpPr>
        <xdr:cNvPr id="287" name="Straight Arrow Connector 286"/>
        <xdr:cNvCxnSpPr/>
      </xdr:nvCxnSpPr>
      <xdr:spPr>
        <a:xfrm>
          <a:off x="4467225" y="2766520"/>
          <a:ext cx="0" cy="144000"/>
        </a:xfrm>
        <a:prstGeom prst="straightConnector1">
          <a:avLst/>
        </a:prstGeom>
        <a:ln w="3175">
          <a:headEnd type="triangle" w="med" len="sm"/>
          <a:tailEnd type="triangle" w="med" len="sm"/>
        </a:ln>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19050</xdr:colOff>
      <xdr:row>403</xdr:row>
      <xdr:rowOff>28575</xdr:rowOff>
    </xdr:from>
    <xdr:to>
      <xdr:col>32</xdr:col>
      <xdr:colOff>9525</xdr:colOff>
      <xdr:row>404</xdr:row>
      <xdr:rowOff>161925</xdr:rowOff>
    </xdr:to>
    <xdr:sp macro="" textlink="">
      <xdr:nvSpPr>
        <xdr:cNvPr id="288" name="AutoShape 86"/>
        <xdr:cNvSpPr>
          <a:spLocks noChangeArrowheads="1"/>
        </xdr:cNvSpPr>
      </xdr:nvSpPr>
      <xdr:spPr bwMode="auto">
        <a:xfrm>
          <a:off x="3810000" y="37471350"/>
          <a:ext cx="923925" cy="33337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55</xdr:col>
      <xdr:colOff>19050</xdr:colOff>
      <xdr:row>33</xdr:row>
      <xdr:rowOff>114300</xdr:rowOff>
    </xdr:from>
    <xdr:to>
      <xdr:col>84</xdr:col>
      <xdr:colOff>85234</xdr:colOff>
      <xdr:row>39</xdr:row>
      <xdr:rowOff>66538</xdr:rowOff>
    </xdr:to>
    <xdr:pic>
      <xdr:nvPicPr>
        <xdr:cNvPr id="2" name="Picture 1"/>
        <xdr:cNvPicPr>
          <a:picLocks noChangeAspect="1"/>
        </xdr:cNvPicPr>
      </xdr:nvPicPr>
      <xdr:blipFill>
        <a:blip xmlns:r="http://schemas.openxmlformats.org/officeDocument/2006/relationships" r:embed="rId1"/>
        <a:stretch>
          <a:fillRect/>
        </a:stretch>
      </xdr:blipFill>
      <xdr:spPr>
        <a:xfrm>
          <a:off x="8286750" y="5133975"/>
          <a:ext cx="3933334" cy="1095238"/>
        </a:xfrm>
        <a:prstGeom prst="rect">
          <a:avLst/>
        </a:prstGeom>
      </xdr:spPr>
    </xdr:pic>
    <xdr:clientData/>
  </xdr:twoCellAnchor>
  <xdr:twoCellAnchor editAs="oneCell">
    <xdr:from>
      <xdr:col>55</xdr:col>
      <xdr:colOff>85726</xdr:colOff>
      <xdr:row>37</xdr:row>
      <xdr:rowOff>180975</xdr:rowOff>
    </xdr:from>
    <xdr:to>
      <xdr:col>85</xdr:col>
      <xdr:colOff>28576</xdr:colOff>
      <xdr:row>44</xdr:row>
      <xdr:rowOff>194016</xdr:rowOff>
    </xdr:to>
    <xdr:pic>
      <xdr:nvPicPr>
        <xdr:cNvPr id="8" name="Picture 7"/>
        <xdr:cNvPicPr>
          <a:picLocks noChangeAspect="1"/>
        </xdr:cNvPicPr>
      </xdr:nvPicPr>
      <xdr:blipFill>
        <a:blip xmlns:r="http://schemas.openxmlformats.org/officeDocument/2006/relationships" r:embed="rId2"/>
        <a:stretch>
          <a:fillRect/>
        </a:stretch>
      </xdr:blipFill>
      <xdr:spPr>
        <a:xfrm>
          <a:off x="8353426" y="5962650"/>
          <a:ext cx="3943350" cy="1270341"/>
        </a:xfrm>
        <a:prstGeom prst="rect">
          <a:avLst/>
        </a:prstGeom>
      </xdr:spPr>
    </xdr:pic>
    <xdr:clientData/>
  </xdr:twoCellAnchor>
  <xdr:twoCellAnchor>
    <xdr:from>
      <xdr:col>20</xdr:col>
      <xdr:colOff>19050</xdr:colOff>
      <xdr:row>27</xdr:row>
      <xdr:rowOff>19051</xdr:rowOff>
    </xdr:from>
    <xdr:to>
      <xdr:col>41</xdr:col>
      <xdr:colOff>123524</xdr:colOff>
      <xdr:row>41</xdr:row>
      <xdr:rowOff>56886</xdr:rowOff>
    </xdr:to>
    <xdr:grpSp>
      <xdr:nvGrpSpPr>
        <xdr:cNvPr id="255" name="Group 254"/>
        <xdr:cNvGrpSpPr/>
      </xdr:nvGrpSpPr>
      <xdr:grpSpPr>
        <a:xfrm>
          <a:off x="3067050" y="3886201"/>
          <a:ext cx="3304874" cy="2714360"/>
          <a:chOff x="3067050" y="3886201"/>
          <a:chExt cx="3304874" cy="2714360"/>
        </a:xfrm>
      </xdr:grpSpPr>
      <xdr:pic>
        <xdr:nvPicPr>
          <xdr:cNvPr id="290" name="Picture 289"/>
          <xdr:cNvPicPr>
            <a:picLocks noChangeAspect="1"/>
          </xdr:cNvPicPr>
        </xdr:nvPicPr>
        <xdr:blipFill>
          <a:blip xmlns:r="http://schemas.openxmlformats.org/officeDocument/2006/relationships" r:embed="rId3"/>
          <a:stretch>
            <a:fillRect/>
          </a:stretch>
        </xdr:blipFill>
        <xdr:spPr>
          <a:xfrm>
            <a:off x="3067050" y="3886201"/>
            <a:ext cx="2847975" cy="493744"/>
          </a:xfrm>
          <a:prstGeom prst="rect">
            <a:avLst/>
          </a:prstGeom>
        </xdr:spPr>
      </xdr:pic>
      <xdr:pic>
        <xdr:nvPicPr>
          <xdr:cNvPr id="17" name="Picture 16"/>
          <xdr:cNvPicPr>
            <a:picLocks noChangeAspect="1"/>
          </xdr:cNvPicPr>
        </xdr:nvPicPr>
        <xdr:blipFill>
          <a:blip xmlns:r="http://schemas.openxmlformats.org/officeDocument/2006/relationships" r:embed="rId4"/>
          <a:stretch>
            <a:fillRect/>
          </a:stretch>
        </xdr:blipFill>
        <xdr:spPr>
          <a:xfrm>
            <a:off x="3962400" y="4486275"/>
            <a:ext cx="2409524" cy="2114286"/>
          </a:xfrm>
          <a:prstGeom prst="rect">
            <a:avLst/>
          </a:prstGeom>
        </xdr:spPr>
      </xdr:pic>
    </xdr:grp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95250</xdr:colOff>
          <xdr:row>78</xdr:row>
          <xdr:rowOff>133350</xdr:rowOff>
        </xdr:from>
        <xdr:to>
          <xdr:col>129</xdr:col>
          <xdr:colOff>142875</xdr:colOff>
          <xdr:row>81</xdr:row>
          <xdr:rowOff>47625</xdr:rowOff>
        </xdr:to>
        <xdr:grpSp>
          <xdr:nvGrpSpPr>
            <xdr:cNvPr id="2" name="Group 1"/>
            <xdr:cNvGrpSpPr/>
          </xdr:nvGrpSpPr>
          <xdr:grpSpPr>
            <a:xfrm>
              <a:off x="552450" y="16430625"/>
              <a:ext cx="19326225" cy="485799"/>
              <a:chOff x="552450" y="16430625"/>
              <a:chExt cx="19326225" cy="485872"/>
            </a:xfrm>
          </xdr:grpSpPr>
          <xdr:sp macro="" textlink="">
            <xdr:nvSpPr>
              <xdr:cNvPr id="8193" name="Object 1" hidden="1">
                <a:extLst>
                  <a:ext uri="{63B3BB69-23CF-44E3-9099-C40C66FF867C}">
                    <a14:compatExt spid="_x0000_s8193"/>
                  </a:ext>
                </a:extLst>
              </xdr:cNvPr>
              <xdr:cNvSpPr/>
            </xdr:nvSpPr>
            <xdr:spPr bwMode="auto">
              <a:xfrm>
                <a:off x="552450" y="16430625"/>
                <a:ext cx="1183577" cy="371488"/>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sp macro="" textlink="">
            <xdr:nvSpPr>
              <xdr:cNvPr id="8196" name="Object 4" hidden="1">
                <a:extLst>
                  <a:ext uri="{63B3BB69-23CF-44E3-9099-C40C66FF867C}">
                    <a14:compatExt spid="_x0000_s8196"/>
                  </a:ext>
                </a:extLst>
              </xdr:cNvPr>
              <xdr:cNvSpPr/>
            </xdr:nvSpPr>
            <xdr:spPr bwMode="auto">
              <a:xfrm>
                <a:off x="6486525" y="16430625"/>
                <a:ext cx="1304925" cy="409575"/>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sp macro="" textlink="">
            <xdr:nvSpPr>
              <xdr:cNvPr id="8197" name="Object 5" hidden="1">
                <a:extLst>
                  <a:ext uri="{63B3BB69-23CF-44E3-9099-C40C66FF867C}">
                    <a14:compatExt spid="_x0000_s8197"/>
                  </a:ext>
                </a:extLst>
              </xdr:cNvPr>
              <xdr:cNvSpPr/>
            </xdr:nvSpPr>
            <xdr:spPr bwMode="auto">
              <a:xfrm>
                <a:off x="12353925" y="16506919"/>
                <a:ext cx="1304925" cy="409578"/>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sp macro="" textlink="">
            <xdr:nvSpPr>
              <xdr:cNvPr id="8198" name="Object 6" hidden="1">
                <a:extLst>
                  <a:ext uri="{63B3BB69-23CF-44E3-9099-C40C66FF867C}">
                    <a14:compatExt spid="_x0000_s8198"/>
                  </a:ext>
                </a:extLst>
              </xdr:cNvPr>
              <xdr:cNvSpPr/>
            </xdr:nvSpPr>
            <xdr:spPr bwMode="auto">
              <a:xfrm>
                <a:off x="18573750" y="16459200"/>
                <a:ext cx="1304925" cy="409575"/>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xdr:twoCellAnchor>
    <xdr:from>
      <xdr:col>11</xdr:col>
      <xdr:colOff>123825</xdr:colOff>
      <xdr:row>96</xdr:row>
      <xdr:rowOff>46811</xdr:rowOff>
    </xdr:from>
    <xdr:to>
      <xdr:col>141</xdr:col>
      <xdr:colOff>19050</xdr:colOff>
      <xdr:row>99</xdr:row>
      <xdr:rowOff>12293</xdr:rowOff>
    </xdr:to>
    <xdr:grpSp>
      <xdr:nvGrpSpPr>
        <xdr:cNvPr id="3" name="Group 2"/>
        <xdr:cNvGrpSpPr/>
      </xdr:nvGrpSpPr>
      <xdr:grpSpPr>
        <a:xfrm>
          <a:off x="1800225" y="19896911"/>
          <a:ext cx="19783425" cy="536982"/>
          <a:chOff x="1800225" y="19896911"/>
          <a:chExt cx="19783425" cy="536982"/>
        </a:xfrm>
      </xdr:grpSpPr>
      <xdr:pic>
        <xdr:nvPicPr>
          <xdr:cNvPr id="11" name="Picture 8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743824" y="19896911"/>
            <a:ext cx="1876425" cy="536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 name="Picture 8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00225" y="19897725"/>
            <a:ext cx="1876425" cy="536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8" name="Picture 8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763624" y="19896911"/>
            <a:ext cx="1876425" cy="536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9" name="Picture 8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707225" y="19897725"/>
            <a:ext cx="1876425" cy="536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333375</xdr:colOff>
      <xdr:row>13</xdr:row>
      <xdr:rowOff>180974</xdr:rowOff>
    </xdr:from>
    <xdr:to>
      <xdr:col>9</xdr:col>
      <xdr:colOff>133350</xdr:colOff>
      <xdr:row>16</xdr:row>
      <xdr:rowOff>27018</xdr:rowOff>
    </xdr:to>
    <xdr:pic>
      <xdr:nvPicPr>
        <xdr:cNvPr id="2" name="Picture 1"/>
        <xdr:cNvPicPr>
          <a:picLocks noChangeAspect="1"/>
        </xdr:cNvPicPr>
      </xdr:nvPicPr>
      <xdr:blipFill>
        <a:blip xmlns:r="http://schemas.openxmlformats.org/officeDocument/2006/relationships" r:embed="rId1"/>
        <a:stretch>
          <a:fillRect/>
        </a:stretch>
      </xdr:blipFill>
      <xdr:spPr>
        <a:xfrm>
          <a:off x="2771775" y="1952624"/>
          <a:ext cx="2847975" cy="427069"/>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6</xdr:col>
          <xdr:colOff>431800</xdr:colOff>
          <xdr:row>41</xdr:row>
          <xdr:rowOff>0</xdr:rowOff>
        </xdr:from>
        <xdr:to>
          <xdr:col>9</xdr:col>
          <xdr:colOff>450850</xdr:colOff>
          <xdr:row>43</xdr:row>
          <xdr:rowOff>127000</xdr:rowOff>
        </xdr:to>
        <xdr:sp macro="" textlink="">
          <xdr:nvSpPr>
            <xdr:cNvPr id="9217" name="Object 1" hidden="1">
              <a:extLst>
                <a:ext uri="{63B3BB69-23CF-44E3-9099-C40C66FF867C}">
                  <a14:compatExt spid="_x0000_s9217"/>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oleObject" Target="../embeddings/oleObject3.bin"/><Relationship Id="rId13" Type="http://schemas.openxmlformats.org/officeDocument/2006/relationships/image" Target="../media/image6.emf"/><Relationship Id="rId18" Type="http://schemas.openxmlformats.org/officeDocument/2006/relationships/oleObject" Target="../embeddings/oleObject8.bin"/><Relationship Id="rId3" Type="http://schemas.openxmlformats.org/officeDocument/2006/relationships/vmlDrawing" Target="../drawings/vmlDrawing1.vml"/><Relationship Id="rId21" Type="http://schemas.openxmlformats.org/officeDocument/2006/relationships/oleObject" Target="../embeddings/oleObject11.bin"/><Relationship Id="rId7" Type="http://schemas.openxmlformats.org/officeDocument/2006/relationships/image" Target="../media/image3.emf"/><Relationship Id="rId12" Type="http://schemas.openxmlformats.org/officeDocument/2006/relationships/oleObject" Target="../embeddings/oleObject5.bin"/><Relationship Id="rId17" Type="http://schemas.openxmlformats.org/officeDocument/2006/relationships/image" Target="../media/image8.emf"/><Relationship Id="rId25" Type="http://schemas.openxmlformats.org/officeDocument/2006/relationships/oleObject" Target="../embeddings/oleObject15.bin"/><Relationship Id="rId2" Type="http://schemas.openxmlformats.org/officeDocument/2006/relationships/drawing" Target="../drawings/drawing2.xml"/><Relationship Id="rId16" Type="http://schemas.openxmlformats.org/officeDocument/2006/relationships/oleObject" Target="../embeddings/oleObject7.bin"/><Relationship Id="rId20" Type="http://schemas.openxmlformats.org/officeDocument/2006/relationships/oleObject" Target="../embeddings/oleObject10.bin"/><Relationship Id="rId1" Type="http://schemas.openxmlformats.org/officeDocument/2006/relationships/printerSettings" Target="../printerSettings/printerSettings4.bin"/><Relationship Id="rId6" Type="http://schemas.openxmlformats.org/officeDocument/2006/relationships/oleObject" Target="../embeddings/oleObject2.bin"/><Relationship Id="rId11" Type="http://schemas.openxmlformats.org/officeDocument/2006/relationships/image" Target="../media/image5.emf"/><Relationship Id="rId24" Type="http://schemas.openxmlformats.org/officeDocument/2006/relationships/oleObject" Target="../embeddings/oleObject14.bin"/><Relationship Id="rId5" Type="http://schemas.openxmlformats.org/officeDocument/2006/relationships/image" Target="../media/image2.emf"/><Relationship Id="rId15" Type="http://schemas.openxmlformats.org/officeDocument/2006/relationships/image" Target="../media/image7.emf"/><Relationship Id="rId23" Type="http://schemas.openxmlformats.org/officeDocument/2006/relationships/oleObject" Target="../embeddings/oleObject13.bin"/><Relationship Id="rId10" Type="http://schemas.openxmlformats.org/officeDocument/2006/relationships/oleObject" Target="../embeddings/oleObject4.bin"/><Relationship Id="rId19" Type="http://schemas.openxmlformats.org/officeDocument/2006/relationships/oleObject" Target="../embeddings/oleObject9.bin"/><Relationship Id="rId4" Type="http://schemas.openxmlformats.org/officeDocument/2006/relationships/oleObject" Target="../embeddings/oleObject1.bin"/><Relationship Id="rId9" Type="http://schemas.openxmlformats.org/officeDocument/2006/relationships/image" Target="../media/image4.emf"/><Relationship Id="rId14" Type="http://schemas.openxmlformats.org/officeDocument/2006/relationships/oleObject" Target="../embeddings/oleObject6.bin"/><Relationship Id="rId22" Type="http://schemas.openxmlformats.org/officeDocument/2006/relationships/oleObject" Target="../embeddings/oleObject12.bin"/></Relationships>
</file>

<file path=xl/worksheets/_rels/sheet5.xml.rels><?xml version="1.0" encoding="UTF-8" standalone="yes"?>
<Relationships xmlns="http://schemas.openxmlformats.org/package/2006/relationships"><Relationship Id="rId8" Type="http://schemas.openxmlformats.org/officeDocument/2006/relationships/oleObject" Target="../embeddings/oleObject19.bin"/><Relationship Id="rId3" Type="http://schemas.openxmlformats.org/officeDocument/2006/relationships/vmlDrawing" Target="../drawings/vmlDrawing2.vml"/><Relationship Id="rId7" Type="http://schemas.openxmlformats.org/officeDocument/2006/relationships/oleObject" Target="../embeddings/oleObject18.bin"/><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oleObject" Target="../embeddings/oleObject17.bin"/><Relationship Id="rId5" Type="http://schemas.openxmlformats.org/officeDocument/2006/relationships/image" Target="../media/image13.emf"/><Relationship Id="rId4" Type="http://schemas.openxmlformats.org/officeDocument/2006/relationships/oleObject" Target="../embeddings/oleObject1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7.bin"/><Relationship Id="rId6" Type="http://schemas.openxmlformats.org/officeDocument/2006/relationships/comments" Target="../comments1.xml"/><Relationship Id="rId5" Type="http://schemas.openxmlformats.org/officeDocument/2006/relationships/image" Target="../media/image6.emf"/><Relationship Id="rId4" Type="http://schemas.openxmlformats.org/officeDocument/2006/relationships/oleObject" Target="../embeddings/oleObject2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54"/>
  <sheetViews>
    <sheetView view="pageBreakPreview" zoomScaleNormal="100" zoomScaleSheetLayoutView="100" workbookViewId="0">
      <selection activeCell="AE113" sqref="AE113"/>
    </sheetView>
  </sheetViews>
  <sheetFormatPr defaultColWidth="9.1796875" defaultRowHeight="12.5" x14ac:dyDescent="0.25"/>
  <cols>
    <col min="1" max="3" width="3" style="4" customWidth="1"/>
    <col min="4" max="4" width="3.26953125" style="4" customWidth="1"/>
    <col min="5" max="85" width="3" style="4" customWidth="1"/>
    <col min="86" max="16384" width="9.1796875" style="4"/>
  </cols>
  <sheetData>
    <row r="1" spans="1:58" ht="13.5" thickTop="1" thickBot="1" x14ac:dyDescent="0.3">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3"/>
    </row>
    <row r="2" spans="1:58" ht="13" thickTop="1" x14ac:dyDescent="0.25">
      <c r="A2" s="5"/>
      <c r="B2" s="582" t="s">
        <v>79</v>
      </c>
      <c r="C2" s="583"/>
      <c r="D2" s="583"/>
      <c r="E2" s="583"/>
      <c r="F2" s="583"/>
      <c r="G2" s="583"/>
      <c r="H2" s="583"/>
      <c r="I2" s="583"/>
      <c r="J2" s="583"/>
      <c r="K2" s="583"/>
      <c r="L2" s="583"/>
      <c r="M2" s="583"/>
      <c r="N2" s="583"/>
      <c r="O2" s="583"/>
      <c r="P2" s="583"/>
      <c r="Q2" s="583"/>
      <c r="R2" s="583"/>
      <c r="S2" s="583"/>
      <c r="T2" s="583"/>
      <c r="U2" s="583"/>
      <c r="V2" s="583"/>
      <c r="W2" s="583"/>
      <c r="X2" s="583"/>
      <c r="Y2" s="583"/>
      <c r="Z2" s="583"/>
      <c r="AA2" s="583"/>
      <c r="AB2" s="583"/>
      <c r="AC2" s="583"/>
      <c r="AD2" s="584"/>
      <c r="AE2" s="6"/>
    </row>
    <row r="3" spans="1:58" x14ac:dyDescent="0.25">
      <c r="A3" s="5"/>
      <c r="B3" s="585"/>
      <c r="C3" s="586"/>
      <c r="D3" s="586"/>
      <c r="E3" s="586"/>
      <c r="F3" s="586"/>
      <c r="G3" s="586"/>
      <c r="H3" s="586"/>
      <c r="I3" s="586"/>
      <c r="J3" s="586"/>
      <c r="K3" s="586"/>
      <c r="L3" s="586"/>
      <c r="M3" s="586"/>
      <c r="N3" s="586"/>
      <c r="O3" s="586"/>
      <c r="P3" s="586"/>
      <c r="Q3" s="586"/>
      <c r="R3" s="586"/>
      <c r="S3" s="586"/>
      <c r="T3" s="586"/>
      <c r="U3" s="586"/>
      <c r="V3" s="586"/>
      <c r="W3" s="586"/>
      <c r="X3" s="586"/>
      <c r="Y3" s="586"/>
      <c r="Z3" s="586"/>
      <c r="AA3" s="586"/>
      <c r="AB3" s="586"/>
      <c r="AC3" s="586"/>
      <c r="AD3" s="587"/>
      <c r="AE3" s="6"/>
    </row>
    <row r="4" spans="1:58" ht="13" thickBot="1" x14ac:dyDescent="0.3">
      <c r="A4" s="5"/>
      <c r="B4" s="588"/>
      <c r="C4" s="589"/>
      <c r="D4" s="589"/>
      <c r="E4" s="589"/>
      <c r="F4" s="589"/>
      <c r="G4" s="589"/>
      <c r="H4" s="589"/>
      <c r="I4" s="589"/>
      <c r="J4" s="589"/>
      <c r="K4" s="589"/>
      <c r="L4" s="589"/>
      <c r="M4" s="589"/>
      <c r="N4" s="589"/>
      <c r="O4" s="589"/>
      <c r="P4" s="589"/>
      <c r="Q4" s="589"/>
      <c r="R4" s="589"/>
      <c r="S4" s="589"/>
      <c r="T4" s="589"/>
      <c r="U4" s="589"/>
      <c r="V4" s="589"/>
      <c r="W4" s="589"/>
      <c r="X4" s="589"/>
      <c r="Y4" s="589"/>
      <c r="Z4" s="589"/>
      <c r="AA4" s="589"/>
      <c r="AB4" s="589"/>
      <c r="AC4" s="589"/>
      <c r="AD4" s="590"/>
      <c r="AE4" s="6"/>
    </row>
    <row r="5" spans="1:58" ht="13" thickTop="1" x14ac:dyDescent="0.25">
      <c r="A5" s="5"/>
      <c r="B5" s="7"/>
      <c r="C5" s="7"/>
      <c r="D5" s="7"/>
      <c r="E5" s="7"/>
      <c r="F5" s="7"/>
      <c r="G5" s="7"/>
      <c r="H5" s="7"/>
      <c r="I5" s="7"/>
      <c r="J5" s="7"/>
      <c r="K5" s="7"/>
      <c r="L5" s="7"/>
      <c r="M5" s="7"/>
      <c r="N5" s="7"/>
      <c r="O5" s="7"/>
      <c r="P5" s="7"/>
      <c r="Q5" s="7"/>
      <c r="R5" s="7"/>
      <c r="S5" s="7"/>
      <c r="T5" s="7"/>
      <c r="U5" s="7"/>
      <c r="V5" s="7"/>
      <c r="W5" s="7"/>
      <c r="X5" s="7"/>
      <c r="Y5" s="7"/>
      <c r="Z5" s="7"/>
      <c r="AA5" s="7"/>
      <c r="AB5" s="7"/>
      <c r="AC5" s="7"/>
      <c r="AD5" s="7"/>
      <c r="AE5" s="6"/>
    </row>
    <row r="6" spans="1:58" x14ac:dyDescent="0.25">
      <c r="A6" s="5"/>
      <c r="B6" s="7"/>
      <c r="C6" s="7"/>
      <c r="D6" s="7"/>
      <c r="E6" s="7"/>
      <c r="F6" s="7"/>
      <c r="G6" s="7"/>
      <c r="H6" s="7"/>
      <c r="I6" s="7"/>
      <c r="J6" s="7"/>
      <c r="K6" s="7"/>
      <c r="L6" s="7"/>
      <c r="M6" s="7"/>
      <c r="N6" s="7"/>
      <c r="O6" s="7"/>
      <c r="P6" s="7"/>
      <c r="Q6" s="7"/>
      <c r="R6" s="7"/>
      <c r="S6" s="7"/>
      <c r="T6" s="7"/>
      <c r="U6" s="7"/>
      <c r="V6" s="7"/>
      <c r="W6" s="7"/>
      <c r="X6" s="7"/>
      <c r="Y6" s="7"/>
      <c r="Z6" s="7"/>
      <c r="AA6" s="7"/>
      <c r="AB6" s="7"/>
      <c r="AC6" s="7"/>
      <c r="AD6" s="7"/>
      <c r="AE6" s="6"/>
    </row>
    <row r="7" spans="1:58" ht="13" x14ac:dyDescent="0.3">
      <c r="A7" s="5"/>
      <c r="B7" s="8" t="s">
        <v>80</v>
      </c>
      <c r="C7" s="7"/>
      <c r="D7" s="7"/>
      <c r="E7" s="7"/>
      <c r="F7" s="7"/>
      <c r="G7" s="7" t="s">
        <v>81</v>
      </c>
      <c r="H7" s="570" t="s">
        <v>82</v>
      </c>
      <c r="I7" s="571"/>
      <c r="J7" s="571"/>
      <c r="K7" s="571"/>
      <c r="L7" s="571"/>
      <c r="M7" s="571"/>
      <c r="N7" s="571"/>
      <c r="O7" s="571"/>
      <c r="P7" s="571"/>
      <c r="Q7" s="571"/>
      <c r="R7" s="571"/>
      <c r="S7" s="571"/>
      <c r="T7" s="571"/>
      <c r="U7" s="571"/>
      <c r="V7" s="571"/>
      <c r="W7" s="571"/>
      <c r="X7" s="571"/>
      <c r="Y7" s="571"/>
      <c r="Z7" s="571"/>
      <c r="AA7" s="571"/>
      <c r="AB7" s="571"/>
      <c r="AC7" s="571"/>
      <c r="AD7" s="572"/>
      <c r="AE7" s="6"/>
      <c r="AJ7" s="576" t="s">
        <v>83</v>
      </c>
      <c r="AK7" s="577"/>
      <c r="AL7" s="577"/>
      <c r="AM7" s="577"/>
      <c r="AN7" s="577"/>
      <c r="AO7" s="577"/>
      <c r="AP7" s="577"/>
      <c r="AQ7" s="577"/>
      <c r="AR7" s="577"/>
      <c r="AS7" s="577"/>
      <c r="AT7" s="577"/>
      <c r="AU7" s="577"/>
      <c r="AV7" s="577"/>
      <c r="AW7" s="577"/>
      <c r="AX7" s="577"/>
      <c r="AY7" s="577"/>
      <c r="AZ7" s="577"/>
      <c r="BA7" s="577"/>
      <c r="BB7" s="577"/>
      <c r="BC7" s="577"/>
      <c r="BD7" s="577"/>
      <c r="BE7" s="577"/>
      <c r="BF7" s="578"/>
    </row>
    <row r="8" spans="1:58" x14ac:dyDescent="0.25">
      <c r="A8" s="5"/>
      <c r="B8" s="7"/>
      <c r="C8" s="7"/>
      <c r="D8" s="7"/>
      <c r="E8" s="7"/>
      <c r="F8" s="7"/>
      <c r="G8" s="7"/>
      <c r="H8" s="591"/>
      <c r="I8" s="592"/>
      <c r="J8" s="592"/>
      <c r="K8" s="592"/>
      <c r="L8" s="592"/>
      <c r="M8" s="592"/>
      <c r="N8" s="592"/>
      <c r="O8" s="592"/>
      <c r="P8" s="592"/>
      <c r="Q8" s="592"/>
      <c r="R8" s="592"/>
      <c r="S8" s="592"/>
      <c r="T8" s="592"/>
      <c r="U8" s="592"/>
      <c r="V8" s="592"/>
      <c r="W8" s="592"/>
      <c r="X8" s="592"/>
      <c r="Y8" s="592"/>
      <c r="Z8" s="592"/>
      <c r="AA8" s="592"/>
      <c r="AB8" s="592"/>
      <c r="AC8" s="592"/>
      <c r="AD8" s="593"/>
      <c r="AE8" s="6"/>
      <c r="AJ8" s="594"/>
      <c r="AK8" s="595"/>
      <c r="AL8" s="595"/>
      <c r="AM8" s="595"/>
      <c r="AN8" s="595"/>
      <c r="AO8" s="595"/>
      <c r="AP8" s="595"/>
      <c r="AQ8" s="595"/>
      <c r="AR8" s="595"/>
      <c r="AS8" s="595"/>
      <c r="AT8" s="595"/>
      <c r="AU8" s="595"/>
      <c r="AV8" s="595"/>
      <c r="AW8" s="595"/>
      <c r="AX8" s="595"/>
      <c r="AY8" s="595"/>
      <c r="AZ8" s="595"/>
      <c r="BA8" s="595"/>
      <c r="BB8" s="595"/>
      <c r="BC8" s="595"/>
      <c r="BD8" s="595"/>
      <c r="BE8" s="595"/>
      <c r="BF8" s="596"/>
    </row>
    <row r="9" spans="1:58" x14ac:dyDescent="0.25">
      <c r="A9" s="5"/>
      <c r="B9" s="7"/>
      <c r="C9" s="7"/>
      <c r="D9" s="7"/>
      <c r="E9" s="7"/>
      <c r="F9" s="7"/>
      <c r="G9" s="7"/>
      <c r="H9" s="573"/>
      <c r="I9" s="574"/>
      <c r="J9" s="574"/>
      <c r="K9" s="574"/>
      <c r="L9" s="574"/>
      <c r="M9" s="574"/>
      <c r="N9" s="574"/>
      <c r="O9" s="574"/>
      <c r="P9" s="574"/>
      <c r="Q9" s="574"/>
      <c r="R9" s="574"/>
      <c r="S9" s="574"/>
      <c r="T9" s="574"/>
      <c r="U9" s="574"/>
      <c r="V9" s="574"/>
      <c r="W9" s="574"/>
      <c r="X9" s="574"/>
      <c r="Y9" s="574"/>
      <c r="Z9" s="574"/>
      <c r="AA9" s="574"/>
      <c r="AB9" s="574"/>
      <c r="AC9" s="574"/>
      <c r="AD9" s="575"/>
      <c r="AE9" s="6"/>
      <c r="AJ9" s="579"/>
      <c r="AK9" s="580"/>
      <c r="AL9" s="580"/>
      <c r="AM9" s="580"/>
      <c r="AN9" s="580"/>
      <c r="AO9" s="580"/>
      <c r="AP9" s="580"/>
      <c r="AQ9" s="580"/>
      <c r="AR9" s="580"/>
      <c r="AS9" s="580"/>
      <c r="AT9" s="580"/>
      <c r="AU9" s="580"/>
      <c r="AV9" s="580"/>
      <c r="AW9" s="580"/>
      <c r="AX9" s="580"/>
      <c r="AY9" s="580"/>
      <c r="AZ9" s="580"/>
      <c r="BA9" s="580"/>
      <c r="BB9" s="580"/>
      <c r="BC9" s="580"/>
      <c r="BD9" s="580"/>
      <c r="BE9" s="580"/>
      <c r="BF9" s="581"/>
    </row>
    <row r="10" spans="1:58" x14ac:dyDescent="0.25">
      <c r="A10" s="5"/>
      <c r="B10" s="7"/>
      <c r="C10" s="7"/>
      <c r="D10" s="7"/>
      <c r="E10" s="7"/>
      <c r="F10" s="7"/>
      <c r="G10" s="7"/>
      <c r="H10" s="7"/>
      <c r="I10" s="7"/>
      <c r="J10" s="7"/>
      <c r="K10" s="7"/>
      <c r="L10" s="7"/>
      <c r="M10" s="7"/>
      <c r="N10" s="7"/>
      <c r="O10" s="7"/>
      <c r="P10" s="7"/>
      <c r="Q10" s="7"/>
      <c r="R10" s="7"/>
      <c r="S10" s="7"/>
      <c r="T10" s="7"/>
      <c r="U10" s="7"/>
      <c r="V10" s="7"/>
      <c r="W10" s="7"/>
      <c r="X10" s="7"/>
      <c r="Y10" s="7"/>
      <c r="Z10" s="7"/>
      <c r="AA10" s="7"/>
      <c r="AB10" s="7"/>
      <c r="AC10" s="7"/>
      <c r="AD10" s="7"/>
      <c r="AE10" s="6"/>
    </row>
    <row r="11" spans="1:58" ht="13" x14ac:dyDescent="0.3">
      <c r="A11" s="5"/>
      <c r="B11" s="8" t="s">
        <v>84</v>
      </c>
      <c r="C11" s="7"/>
      <c r="D11" s="7"/>
      <c r="E11" s="7"/>
      <c r="F11" s="7"/>
      <c r="G11" s="7" t="s">
        <v>81</v>
      </c>
      <c r="H11" s="570" t="s">
        <v>85</v>
      </c>
      <c r="I11" s="571"/>
      <c r="J11" s="571"/>
      <c r="K11" s="571"/>
      <c r="L11" s="571"/>
      <c r="M11" s="571"/>
      <c r="N11" s="571"/>
      <c r="O11" s="571"/>
      <c r="P11" s="571"/>
      <c r="Q11" s="571"/>
      <c r="R11" s="571"/>
      <c r="S11" s="571"/>
      <c r="T11" s="571"/>
      <c r="U11" s="571"/>
      <c r="V11" s="571"/>
      <c r="W11" s="571"/>
      <c r="X11" s="571"/>
      <c r="Y11" s="571"/>
      <c r="Z11" s="571"/>
      <c r="AA11" s="571"/>
      <c r="AB11" s="571"/>
      <c r="AC11" s="571"/>
      <c r="AD11" s="572"/>
      <c r="AE11" s="6"/>
      <c r="AJ11" s="576" t="s">
        <v>86</v>
      </c>
      <c r="AK11" s="577"/>
      <c r="AL11" s="577"/>
      <c r="AM11" s="577"/>
      <c r="AN11" s="577"/>
      <c r="AO11" s="577"/>
      <c r="AP11" s="577"/>
      <c r="AQ11" s="577"/>
      <c r="AR11" s="577"/>
      <c r="AS11" s="577"/>
      <c r="AT11" s="577"/>
      <c r="AU11" s="577"/>
      <c r="AV11" s="577"/>
      <c r="AW11" s="577"/>
      <c r="AX11" s="577"/>
      <c r="AY11" s="577"/>
      <c r="AZ11" s="577"/>
      <c r="BA11" s="577"/>
      <c r="BB11" s="577"/>
      <c r="BC11" s="577"/>
      <c r="BD11" s="577"/>
      <c r="BE11" s="577"/>
      <c r="BF11" s="578"/>
    </row>
    <row r="12" spans="1:58" x14ac:dyDescent="0.25">
      <c r="A12" s="5"/>
      <c r="B12" s="7"/>
      <c r="C12" s="7"/>
      <c r="D12" s="7"/>
      <c r="E12" s="7"/>
      <c r="F12" s="7"/>
      <c r="G12" s="7"/>
      <c r="H12" s="573"/>
      <c r="I12" s="574"/>
      <c r="J12" s="574"/>
      <c r="K12" s="574"/>
      <c r="L12" s="574"/>
      <c r="M12" s="574"/>
      <c r="N12" s="574"/>
      <c r="O12" s="574"/>
      <c r="P12" s="574"/>
      <c r="Q12" s="574"/>
      <c r="R12" s="574"/>
      <c r="S12" s="574"/>
      <c r="T12" s="574"/>
      <c r="U12" s="574"/>
      <c r="V12" s="574"/>
      <c r="W12" s="574"/>
      <c r="X12" s="574"/>
      <c r="Y12" s="574"/>
      <c r="Z12" s="574"/>
      <c r="AA12" s="574"/>
      <c r="AB12" s="574"/>
      <c r="AC12" s="574"/>
      <c r="AD12" s="575"/>
      <c r="AE12" s="6"/>
      <c r="AJ12" s="579"/>
      <c r="AK12" s="580"/>
      <c r="AL12" s="580"/>
      <c r="AM12" s="580"/>
      <c r="AN12" s="580"/>
      <c r="AO12" s="580"/>
      <c r="AP12" s="580"/>
      <c r="AQ12" s="580"/>
      <c r="AR12" s="580"/>
      <c r="AS12" s="580"/>
      <c r="AT12" s="580"/>
      <c r="AU12" s="580"/>
      <c r="AV12" s="580"/>
      <c r="AW12" s="580"/>
      <c r="AX12" s="580"/>
      <c r="AY12" s="580"/>
      <c r="AZ12" s="580"/>
      <c r="BA12" s="580"/>
      <c r="BB12" s="580"/>
      <c r="BC12" s="580"/>
      <c r="BD12" s="580"/>
      <c r="BE12" s="580"/>
      <c r="BF12" s="581"/>
    </row>
    <row r="13" spans="1:58" x14ac:dyDescent="0.25">
      <c r="A13" s="5"/>
      <c r="B13" s="7"/>
      <c r="C13" s="7"/>
      <c r="D13" s="7"/>
      <c r="E13" s="7"/>
      <c r="F13" s="7"/>
      <c r="G13" s="7"/>
      <c r="H13" s="7"/>
      <c r="I13" s="7"/>
      <c r="J13" s="7"/>
      <c r="K13" s="7"/>
      <c r="L13" s="7"/>
      <c r="M13" s="7"/>
      <c r="N13" s="7"/>
      <c r="O13" s="7"/>
      <c r="P13" s="7"/>
      <c r="Q13" s="7"/>
      <c r="R13" s="7"/>
      <c r="S13" s="7"/>
      <c r="T13" s="7"/>
      <c r="U13" s="7"/>
      <c r="V13" s="7"/>
      <c r="W13" s="7"/>
      <c r="X13" s="7"/>
      <c r="Y13" s="7"/>
      <c r="Z13" s="7"/>
      <c r="AA13" s="7"/>
      <c r="AB13" s="7"/>
      <c r="AC13" s="7"/>
      <c r="AD13" s="7"/>
      <c r="AE13" s="6"/>
    </row>
    <row r="14" spans="1:58" ht="13" x14ac:dyDescent="0.3">
      <c r="A14" s="5"/>
      <c r="B14" s="8" t="s">
        <v>87</v>
      </c>
      <c r="C14" s="7"/>
      <c r="D14" s="7"/>
      <c r="E14" s="7"/>
      <c r="F14" s="7"/>
      <c r="G14" s="7" t="s">
        <v>81</v>
      </c>
      <c r="H14" s="570" t="s">
        <v>88</v>
      </c>
      <c r="I14" s="571"/>
      <c r="J14" s="571"/>
      <c r="K14" s="571"/>
      <c r="L14" s="571"/>
      <c r="M14" s="571"/>
      <c r="N14" s="571"/>
      <c r="O14" s="571"/>
      <c r="P14" s="571"/>
      <c r="Q14" s="571"/>
      <c r="R14" s="571"/>
      <c r="S14" s="571"/>
      <c r="T14" s="571"/>
      <c r="U14" s="571"/>
      <c r="V14" s="571"/>
      <c r="W14" s="571"/>
      <c r="X14" s="571"/>
      <c r="Y14" s="571"/>
      <c r="Z14" s="571"/>
      <c r="AA14" s="571"/>
      <c r="AB14" s="571"/>
      <c r="AC14" s="571"/>
      <c r="AD14" s="572"/>
      <c r="AE14" s="6"/>
      <c r="AJ14" s="576" t="s">
        <v>89</v>
      </c>
      <c r="AK14" s="577"/>
      <c r="AL14" s="577"/>
      <c r="AM14" s="577"/>
      <c r="AN14" s="577"/>
      <c r="AO14" s="577"/>
      <c r="AP14" s="577"/>
      <c r="AQ14" s="577"/>
      <c r="AR14" s="577"/>
      <c r="AS14" s="577"/>
      <c r="AT14" s="577"/>
      <c r="AU14" s="577"/>
      <c r="AV14" s="577"/>
      <c r="AW14" s="577"/>
      <c r="AX14" s="577"/>
      <c r="AY14" s="577"/>
      <c r="AZ14" s="577"/>
      <c r="BA14" s="577"/>
      <c r="BB14" s="577"/>
      <c r="BC14" s="577"/>
      <c r="BD14" s="577"/>
      <c r="BE14" s="577"/>
      <c r="BF14" s="578"/>
    </row>
    <row r="15" spans="1:58" x14ac:dyDescent="0.25">
      <c r="A15" s="5"/>
      <c r="B15" s="7"/>
      <c r="C15" s="7"/>
      <c r="D15" s="7"/>
      <c r="E15" s="7"/>
      <c r="F15" s="7"/>
      <c r="G15" s="7"/>
      <c r="H15" s="573"/>
      <c r="I15" s="574"/>
      <c r="J15" s="574"/>
      <c r="K15" s="574"/>
      <c r="L15" s="574"/>
      <c r="M15" s="574"/>
      <c r="N15" s="574"/>
      <c r="O15" s="574"/>
      <c r="P15" s="574"/>
      <c r="Q15" s="574"/>
      <c r="R15" s="574"/>
      <c r="S15" s="574"/>
      <c r="T15" s="574"/>
      <c r="U15" s="574"/>
      <c r="V15" s="574"/>
      <c r="W15" s="574"/>
      <c r="X15" s="574"/>
      <c r="Y15" s="574"/>
      <c r="Z15" s="574"/>
      <c r="AA15" s="574"/>
      <c r="AB15" s="574"/>
      <c r="AC15" s="574"/>
      <c r="AD15" s="575"/>
      <c r="AE15" s="6"/>
      <c r="AJ15" s="579"/>
      <c r="AK15" s="580"/>
      <c r="AL15" s="580"/>
      <c r="AM15" s="580"/>
      <c r="AN15" s="580"/>
      <c r="AO15" s="580"/>
      <c r="AP15" s="580"/>
      <c r="AQ15" s="580"/>
      <c r="AR15" s="580"/>
      <c r="AS15" s="580"/>
      <c r="AT15" s="580"/>
      <c r="AU15" s="580"/>
      <c r="AV15" s="580"/>
      <c r="AW15" s="580"/>
      <c r="AX15" s="580"/>
      <c r="AY15" s="580"/>
      <c r="AZ15" s="580"/>
      <c r="BA15" s="580"/>
      <c r="BB15" s="580"/>
      <c r="BC15" s="580"/>
      <c r="BD15" s="580"/>
      <c r="BE15" s="580"/>
      <c r="BF15" s="581"/>
    </row>
    <row r="16" spans="1:58" x14ac:dyDescent="0.25">
      <c r="A16" s="5"/>
      <c r="B16" s="7"/>
      <c r="C16" s="7"/>
      <c r="D16" s="7"/>
      <c r="E16" s="7"/>
      <c r="F16" s="7"/>
      <c r="G16" s="7"/>
      <c r="H16" s="7"/>
      <c r="I16" s="7"/>
      <c r="J16" s="7"/>
      <c r="K16" s="7"/>
      <c r="L16" s="7"/>
      <c r="M16" s="7"/>
      <c r="N16" s="7"/>
      <c r="O16" s="7"/>
      <c r="P16" s="7"/>
      <c r="Q16" s="7"/>
      <c r="R16" s="7"/>
      <c r="S16" s="7"/>
      <c r="T16" s="7"/>
      <c r="U16" s="7"/>
      <c r="V16" s="7"/>
      <c r="W16" s="7"/>
      <c r="X16" s="7"/>
      <c r="Y16" s="7"/>
      <c r="Z16" s="7"/>
      <c r="AA16" s="7"/>
      <c r="AB16" s="7"/>
      <c r="AC16" s="7"/>
      <c r="AD16" s="7"/>
      <c r="AE16" s="6"/>
    </row>
    <row r="17" spans="1:58" ht="13" x14ac:dyDescent="0.3">
      <c r="A17" s="5"/>
      <c r="B17" s="8" t="s">
        <v>90</v>
      </c>
      <c r="C17" s="7"/>
      <c r="D17" s="7"/>
      <c r="E17" s="7"/>
      <c r="F17" s="7"/>
      <c r="G17" s="7" t="s">
        <v>81</v>
      </c>
      <c r="H17" s="597" t="str">
        <f>CONCATENATE("DESIGN OF RCC RETAINING WALL (TOE WALL) FOR HEIGHT  
 UPTO ", Design!U9,  "m Height")</f>
        <v>DESIGN OF RCC RETAINING WALL (TOE WALL) FOR HEIGHT  
 UPTO 4m Height</v>
      </c>
      <c r="I17" s="598"/>
      <c r="J17" s="598"/>
      <c r="K17" s="598"/>
      <c r="L17" s="598"/>
      <c r="M17" s="598"/>
      <c r="N17" s="598"/>
      <c r="O17" s="598"/>
      <c r="P17" s="598"/>
      <c r="Q17" s="598"/>
      <c r="R17" s="598"/>
      <c r="S17" s="598"/>
      <c r="T17" s="598"/>
      <c r="U17" s="598"/>
      <c r="V17" s="598"/>
      <c r="W17" s="598"/>
      <c r="X17" s="598"/>
      <c r="Y17" s="598"/>
      <c r="Z17" s="598"/>
      <c r="AA17" s="598"/>
      <c r="AB17" s="598"/>
      <c r="AC17" s="598"/>
      <c r="AD17" s="599"/>
      <c r="AE17" s="6"/>
      <c r="AJ17" s="603" t="s">
        <v>91</v>
      </c>
      <c r="AK17" s="604"/>
      <c r="AL17" s="604"/>
      <c r="AM17" s="604"/>
      <c r="AN17" s="604"/>
      <c r="AO17" s="604"/>
      <c r="AP17" s="604"/>
      <c r="AQ17" s="604"/>
      <c r="AR17" s="604"/>
      <c r="AS17" s="604"/>
      <c r="AT17" s="604"/>
      <c r="AU17" s="604"/>
      <c r="AV17" s="604"/>
      <c r="AW17" s="604"/>
      <c r="AX17" s="604"/>
      <c r="AY17" s="604"/>
      <c r="AZ17" s="604"/>
      <c r="BA17" s="604"/>
      <c r="BB17" s="604"/>
      <c r="BC17" s="604"/>
      <c r="BD17" s="604"/>
      <c r="BE17" s="604"/>
      <c r="BF17" s="605"/>
    </row>
    <row r="18" spans="1:58" x14ac:dyDescent="0.25">
      <c r="A18" s="5"/>
      <c r="B18" s="7"/>
      <c r="C18" s="7"/>
      <c r="D18" s="7"/>
      <c r="E18" s="7"/>
      <c r="F18" s="7"/>
      <c r="G18" s="7"/>
      <c r="H18" s="600"/>
      <c r="I18" s="601"/>
      <c r="J18" s="601"/>
      <c r="K18" s="601"/>
      <c r="L18" s="601"/>
      <c r="M18" s="601"/>
      <c r="N18" s="601"/>
      <c r="O18" s="601"/>
      <c r="P18" s="601"/>
      <c r="Q18" s="601"/>
      <c r="R18" s="601"/>
      <c r="S18" s="601"/>
      <c r="T18" s="601"/>
      <c r="U18" s="601"/>
      <c r="V18" s="601"/>
      <c r="W18" s="601"/>
      <c r="X18" s="601"/>
      <c r="Y18" s="601"/>
      <c r="Z18" s="601"/>
      <c r="AA18" s="601"/>
      <c r="AB18" s="601"/>
      <c r="AC18" s="601"/>
      <c r="AD18" s="602"/>
      <c r="AE18" s="6"/>
      <c r="AJ18" s="606"/>
      <c r="AK18" s="607"/>
      <c r="AL18" s="607"/>
      <c r="AM18" s="607"/>
      <c r="AN18" s="607"/>
      <c r="AO18" s="607"/>
      <c r="AP18" s="607"/>
      <c r="AQ18" s="607"/>
      <c r="AR18" s="607"/>
      <c r="AS18" s="607"/>
      <c r="AT18" s="607"/>
      <c r="AU18" s="607"/>
      <c r="AV18" s="607"/>
      <c r="AW18" s="607"/>
      <c r="AX18" s="607"/>
      <c r="AY18" s="607"/>
      <c r="AZ18" s="607"/>
      <c r="BA18" s="607"/>
      <c r="BB18" s="607"/>
      <c r="BC18" s="607"/>
      <c r="BD18" s="607"/>
      <c r="BE18" s="607"/>
      <c r="BF18" s="608"/>
    </row>
    <row r="19" spans="1:58" x14ac:dyDescent="0.25">
      <c r="A19" s="5"/>
      <c r="B19" s="7"/>
      <c r="C19" s="7"/>
      <c r="D19" s="7"/>
      <c r="E19" s="7"/>
      <c r="F19" s="7"/>
      <c r="G19" s="7"/>
      <c r="H19" s="9"/>
      <c r="I19" s="9"/>
      <c r="J19" s="9"/>
      <c r="K19" s="9"/>
      <c r="L19" s="9"/>
      <c r="M19" s="9"/>
      <c r="N19" s="9"/>
      <c r="O19" s="9"/>
      <c r="P19" s="9"/>
      <c r="Q19" s="9"/>
      <c r="R19" s="9"/>
      <c r="S19" s="9"/>
      <c r="T19" s="9"/>
      <c r="U19" s="9"/>
      <c r="V19" s="9"/>
      <c r="W19" s="9"/>
      <c r="X19" s="9"/>
      <c r="Y19" s="9"/>
      <c r="Z19" s="9"/>
      <c r="AA19" s="9"/>
      <c r="AB19" s="9"/>
      <c r="AC19" s="9"/>
      <c r="AD19" s="9"/>
      <c r="AE19" s="6"/>
    </row>
    <row r="20" spans="1:58" x14ac:dyDescent="0.25">
      <c r="A20" s="5"/>
      <c r="B20" s="7"/>
      <c r="C20" s="7"/>
      <c r="D20" s="7"/>
      <c r="E20" s="7"/>
      <c r="F20" s="7"/>
      <c r="G20" s="7"/>
      <c r="H20" s="7"/>
      <c r="I20" s="7"/>
      <c r="J20" s="7"/>
      <c r="K20" s="7"/>
      <c r="L20" s="7"/>
      <c r="M20" s="7"/>
      <c r="N20" s="7"/>
      <c r="O20" s="7"/>
      <c r="P20" s="7"/>
      <c r="Q20" s="7"/>
      <c r="R20" s="7"/>
      <c r="S20" s="7"/>
      <c r="T20" s="7"/>
      <c r="U20" s="7"/>
      <c r="V20" s="7"/>
      <c r="W20" s="7"/>
      <c r="X20" s="7"/>
      <c r="Y20" s="7"/>
      <c r="Z20" s="7"/>
      <c r="AA20" s="7"/>
      <c r="AB20" s="7"/>
      <c r="AC20" s="7"/>
      <c r="AD20" s="7"/>
      <c r="AE20" s="6"/>
    </row>
    <row r="21" spans="1:58" x14ac:dyDescent="0.25">
      <c r="A21" s="5"/>
      <c r="B21" s="7"/>
      <c r="C21" s="7"/>
      <c r="D21" s="7"/>
      <c r="E21" s="7"/>
      <c r="F21" s="7"/>
      <c r="G21" s="7"/>
      <c r="H21" s="7"/>
      <c r="I21" s="7"/>
      <c r="J21" s="7"/>
      <c r="K21" s="7"/>
      <c r="L21" s="7"/>
      <c r="M21" s="7"/>
      <c r="N21" s="7"/>
      <c r="O21" s="7"/>
      <c r="P21" s="7"/>
      <c r="Q21" s="7"/>
      <c r="R21" s="7"/>
      <c r="S21" s="7"/>
      <c r="T21" s="7"/>
      <c r="U21" s="7"/>
      <c r="V21" s="7"/>
      <c r="W21" s="7"/>
      <c r="X21" s="7"/>
      <c r="Y21" s="7"/>
      <c r="Z21" s="7"/>
      <c r="AA21" s="7"/>
      <c r="AB21" s="7"/>
      <c r="AC21" s="7"/>
      <c r="AD21" s="7"/>
      <c r="AE21" s="6"/>
    </row>
    <row r="22" spans="1:58" ht="13" x14ac:dyDescent="0.3">
      <c r="A22" s="5"/>
      <c r="B22" s="8" t="s">
        <v>92</v>
      </c>
      <c r="C22" s="7"/>
      <c r="D22" s="7"/>
      <c r="E22" s="7"/>
      <c r="F22" s="7"/>
      <c r="G22" s="7" t="s">
        <v>81</v>
      </c>
      <c r="H22" s="609" t="s">
        <v>93</v>
      </c>
      <c r="I22" s="609"/>
      <c r="J22" s="609"/>
      <c r="K22" s="609"/>
      <c r="L22" s="609" t="s">
        <v>94</v>
      </c>
      <c r="M22" s="609"/>
      <c r="N22" s="609"/>
      <c r="O22" s="609"/>
      <c r="P22" s="609" t="s">
        <v>95</v>
      </c>
      <c r="Q22" s="609"/>
      <c r="R22" s="609"/>
      <c r="S22" s="609"/>
      <c r="T22" s="609" t="s">
        <v>96</v>
      </c>
      <c r="U22" s="609"/>
      <c r="V22" s="609"/>
      <c r="W22" s="609"/>
      <c r="X22" s="609" t="s">
        <v>97</v>
      </c>
      <c r="Y22" s="609"/>
      <c r="Z22" s="609"/>
      <c r="AA22" s="609"/>
      <c r="AB22" s="7"/>
      <c r="AC22" s="7"/>
      <c r="AD22" s="7"/>
      <c r="AE22" s="6"/>
    </row>
    <row r="23" spans="1:58" x14ac:dyDescent="0.25">
      <c r="A23" s="5"/>
      <c r="B23" s="7"/>
      <c r="C23" s="7"/>
      <c r="D23" s="7"/>
      <c r="E23" s="7"/>
      <c r="F23" s="7"/>
      <c r="G23" s="7"/>
      <c r="H23" s="625"/>
      <c r="I23" s="626"/>
      <c r="J23" s="626"/>
      <c r="K23" s="627"/>
      <c r="L23" s="625"/>
      <c r="M23" s="626"/>
      <c r="N23" s="626"/>
      <c r="O23" s="627"/>
      <c r="P23" s="625"/>
      <c r="Q23" s="626"/>
      <c r="R23" s="626"/>
      <c r="S23" s="627"/>
      <c r="T23" s="631"/>
      <c r="U23" s="632"/>
      <c r="V23" s="632"/>
      <c r="W23" s="633"/>
      <c r="X23" s="625"/>
      <c r="Y23" s="626"/>
      <c r="Z23" s="626"/>
      <c r="AA23" s="627"/>
      <c r="AB23" s="7"/>
      <c r="AC23" s="7"/>
      <c r="AD23" s="7"/>
      <c r="AE23" s="6"/>
    </row>
    <row r="24" spans="1:58" x14ac:dyDescent="0.25">
      <c r="A24" s="5"/>
      <c r="B24" s="7"/>
      <c r="C24" s="7"/>
      <c r="D24" s="7"/>
      <c r="E24" s="7"/>
      <c r="F24" s="7"/>
      <c r="G24" s="7"/>
      <c r="H24" s="628"/>
      <c r="I24" s="629"/>
      <c r="J24" s="629"/>
      <c r="K24" s="630"/>
      <c r="L24" s="628"/>
      <c r="M24" s="629"/>
      <c r="N24" s="629"/>
      <c r="O24" s="630"/>
      <c r="P24" s="628"/>
      <c r="Q24" s="629"/>
      <c r="R24" s="629"/>
      <c r="S24" s="630"/>
      <c r="T24" s="634"/>
      <c r="U24" s="635"/>
      <c r="V24" s="635"/>
      <c r="W24" s="636"/>
      <c r="X24" s="628"/>
      <c r="Y24" s="629"/>
      <c r="Z24" s="629"/>
      <c r="AA24" s="630"/>
      <c r="AB24" s="7"/>
      <c r="AC24" s="7"/>
      <c r="AD24" s="7"/>
      <c r="AE24" s="6"/>
    </row>
    <row r="25" spans="1:58" x14ac:dyDescent="0.25">
      <c r="A25" s="5"/>
      <c r="B25" s="7"/>
      <c r="C25" s="7"/>
      <c r="D25" s="7"/>
      <c r="E25" s="7"/>
      <c r="F25" s="7"/>
      <c r="G25" s="7"/>
      <c r="H25" s="10"/>
      <c r="I25" s="10"/>
      <c r="J25" s="10"/>
      <c r="K25" s="10"/>
      <c r="L25" s="10"/>
      <c r="M25" s="10"/>
      <c r="N25" s="10"/>
      <c r="O25" s="10"/>
      <c r="P25" s="10"/>
      <c r="Q25" s="10"/>
      <c r="R25" s="10"/>
      <c r="S25" s="10"/>
      <c r="T25" s="10"/>
      <c r="U25" s="10"/>
      <c r="V25" s="10"/>
      <c r="W25" s="10"/>
      <c r="X25" s="10"/>
      <c r="Y25" s="10"/>
      <c r="Z25" s="10"/>
      <c r="AA25" s="10"/>
      <c r="AB25" s="7"/>
      <c r="AC25" s="7"/>
      <c r="AD25" s="7"/>
      <c r="AE25" s="6"/>
    </row>
    <row r="26" spans="1:58" x14ac:dyDescent="0.25">
      <c r="A26" s="5"/>
      <c r="B26" s="7"/>
      <c r="C26" s="7"/>
      <c r="D26" s="7"/>
      <c r="E26" s="7"/>
      <c r="F26" s="7"/>
      <c r="G26" s="7"/>
      <c r="H26" s="7"/>
      <c r="I26" s="7"/>
      <c r="J26" s="7"/>
      <c r="K26" s="7"/>
      <c r="L26" s="7"/>
      <c r="M26" s="7"/>
      <c r="N26" s="7"/>
      <c r="O26" s="7"/>
      <c r="P26" s="7"/>
      <c r="Q26" s="7"/>
      <c r="R26" s="7"/>
      <c r="S26" s="7"/>
      <c r="T26" s="7"/>
      <c r="U26" s="7"/>
      <c r="V26" s="7"/>
      <c r="W26" s="7"/>
      <c r="X26" s="7"/>
      <c r="Y26" s="7"/>
      <c r="Z26" s="7"/>
      <c r="AA26" s="7"/>
      <c r="AB26" s="7"/>
      <c r="AC26" s="7"/>
      <c r="AD26" s="7"/>
      <c r="AE26" s="6"/>
    </row>
    <row r="27" spans="1:58" x14ac:dyDescent="0.25">
      <c r="A27" s="5"/>
      <c r="B27" s="610" t="s">
        <v>98</v>
      </c>
      <c r="C27" s="611"/>
      <c r="D27" s="612"/>
      <c r="E27" s="616" t="s">
        <v>99</v>
      </c>
      <c r="F27" s="616"/>
      <c r="G27" s="617" t="s">
        <v>100</v>
      </c>
      <c r="H27" s="618"/>
      <c r="I27" s="618"/>
      <c r="J27" s="618"/>
      <c r="K27" s="618"/>
      <c r="L27" s="618"/>
      <c r="M27" s="618"/>
      <c r="N27" s="618"/>
      <c r="O27" s="618"/>
      <c r="P27" s="618"/>
      <c r="Q27" s="618"/>
      <c r="R27" s="619"/>
      <c r="S27" s="623" t="s">
        <v>101</v>
      </c>
      <c r="T27" s="624"/>
      <c r="U27" s="624"/>
      <c r="V27" s="624"/>
      <c r="W27" s="624" t="s">
        <v>102</v>
      </c>
      <c r="X27" s="624"/>
      <c r="Y27" s="624"/>
      <c r="Z27" s="624"/>
      <c r="AA27" s="624" t="s">
        <v>103</v>
      </c>
      <c r="AB27" s="624"/>
      <c r="AC27" s="624"/>
      <c r="AD27" s="624"/>
      <c r="AE27" s="6"/>
    </row>
    <row r="28" spans="1:58" x14ac:dyDescent="0.25">
      <c r="A28" s="5"/>
      <c r="B28" s="613"/>
      <c r="C28" s="614"/>
      <c r="D28" s="615"/>
      <c r="E28" s="616"/>
      <c r="F28" s="616"/>
      <c r="G28" s="620"/>
      <c r="H28" s="621"/>
      <c r="I28" s="621"/>
      <c r="J28" s="621"/>
      <c r="K28" s="621"/>
      <c r="L28" s="621"/>
      <c r="M28" s="621"/>
      <c r="N28" s="621"/>
      <c r="O28" s="621"/>
      <c r="P28" s="621"/>
      <c r="Q28" s="621"/>
      <c r="R28" s="622"/>
      <c r="S28" s="637" t="s">
        <v>104</v>
      </c>
      <c r="T28" s="609"/>
      <c r="U28" s="609" t="s">
        <v>105</v>
      </c>
      <c r="V28" s="609"/>
      <c r="W28" s="609" t="s">
        <v>104</v>
      </c>
      <c r="X28" s="609"/>
      <c r="Y28" s="609" t="s">
        <v>105</v>
      </c>
      <c r="Z28" s="609"/>
      <c r="AA28" s="609" t="s">
        <v>104</v>
      </c>
      <c r="AB28" s="609"/>
      <c r="AC28" s="609" t="s">
        <v>105</v>
      </c>
      <c r="AD28" s="609"/>
      <c r="AE28" s="6"/>
    </row>
    <row r="29" spans="1:58" x14ac:dyDescent="0.25">
      <c r="A29" s="5"/>
      <c r="B29" s="638"/>
      <c r="C29" s="639"/>
      <c r="D29" s="639"/>
      <c r="E29" s="625"/>
      <c r="F29" s="627"/>
      <c r="G29" s="642"/>
      <c r="H29" s="643"/>
      <c r="I29" s="643"/>
      <c r="J29" s="643"/>
      <c r="K29" s="643"/>
      <c r="L29" s="643"/>
      <c r="M29" s="643"/>
      <c r="N29" s="643"/>
      <c r="O29" s="643"/>
      <c r="P29" s="643"/>
      <c r="Q29" s="643"/>
      <c r="R29" s="644"/>
      <c r="S29" s="648"/>
      <c r="T29" s="649"/>
      <c r="U29" s="648"/>
      <c r="V29" s="649"/>
      <c r="W29" s="648"/>
      <c r="X29" s="649"/>
      <c r="Y29" s="648"/>
      <c r="Z29" s="649"/>
      <c r="AA29" s="648"/>
      <c r="AB29" s="649"/>
      <c r="AC29" s="648"/>
      <c r="AD29" s="649"/>
      <c r="AE29" s="6"/>
    </row>
    <row r="30" spans="1:58" x14ac:dyDescent="0.25">
      <c r="A30" s="5"/>
      <c r="B30" s="640"/>
      <c r="C30" s="641"/>
      <c r="D30" s="641"/>
      <c r="E30" s="628"/>
      <c r="F30" s="630"/>
      <c r="G30" s="645"/>
      <c r="H30" s="646"/>
      <c r="I30" s="646"/>
      <c r="J30" s="646"/>
      <c r="K30" s="646"/>
      <c r="L30" s="646"/>
      <c r="M30" s="646"/>
      <c r="N30" s="646"/>
      <c r="O30" s="646"/>
      <c r="P30" s="646"/>
      <c r="Q30" s="646"/>
      <c r="R30" s="647"/>
      <c r="S30" s="650"/>
      <c r="T30" s="651"/>
      <c r="U30" s="650"/>
      <c r="V30" s="651"/>
      <c r="W30" s="650"/>
      <c r="X30" s="651"/>
      <c r="Y30" s="650"/>
      <c r="Z30" s="651"/>
      <c r="AA30" s="650"/>
      <c r="AB30" s="651"/>
      <c r="AC30" s="650"/>
      <c r="AD30" s="651"/>
      <c r="AE30" s="6"/>
    </row>
    <row r="31" spans="1:58" ht="12.75" customHeight="1" x14ac:dyDescent="0.25">
      <c r="A31" s="5"/>
      <c r="B31" s="638"/>
      <c r="C31" s="639"/>
      <c r="D31" s="639"/>
      <c r="E31" s="625"/>
      <c r="F31" s="627"/>
      <c r="G31" s="642"/>
      <c r="H31" s="643"/>
      <c r="I31" s="643"/>
      <c r="J31" s="643"/>
      <c r="K31" s="643"/>
      <c r="L31" s="643"/>
      <c r="M31" s="643"/>
      <c r="N31" s="643"/>
      <c r="O31" s="643"/>
      <c r="P31" s="643"/>
      <c r="Q31" s="643"/>
      <c r="R31" s="644"/>
      <c r="S31" s="648"/>
      <c r="T31" s="649"/>
      <c r="U31" s="648"/>
      <c r="V31" s="649"/>
      <c r="W31" s="648"/>
      <c r="X31" s="649"/>
      <c r="Y31" s="648"/>
      <c r="Z31" s="649"/>
      <c r="AA31" s="648"/>
      <c r="AB31" s="649"/>
      <c r="AC31" s="648"/>
      <c r="AD31" s="649"/>
      <c r="AE31" s="6"/>
    </row>
    <row r="32" spans="1:58" x14ac:dyDescent="0.25">
      <c r="A32" s="5"/>
      <c r="B32" s="640"/>
      <c r="C32" s="641"/>
      <c r="D32" s="641"/>
      <c r="E32" s="628"/>
      <c r="F32" s="630"/>
      <c r="G32" s="645"/>
      <c r="H32" s="646"/>
      <c r="I32" s="646"/>
      <c r="J32" s="646"/>
      <c r="K32" s="646"/>
      <c r="L32" s="646"/>
      <c r="M32" s="646"/>
      <c r="N32" s="646"/>
      <c r="O32" s="646"/>
      <c r="P32" s="646"/>
      <c r="Q32" s="646"/>
      <c r="R32" s="647"/>
      <c r="S32" s="650"/>
      <c r="T32" s="651"/>
      <c r="U32" s="650"/>
      <c r="V32" s="651"/>
      <c r="W32" s="650"/>
      <c r="X32" s="651"/>
      <c r="Y32" s="650"/>
      <c r="Z32" s="651"/>
      <c r="AA32" s="650"/>
      <c r="AB32" s="651"/>
      <c r="AC32" s="650"/>
      <c r="AD32" s="651"/>
      <c r="AE32" s="6"/>
    </row>
    <row r="33" spans="1:36" ht="12.75" customHeight="1" x14ac:dyDescent="0.25">
      <c r="A33" s="5"/>
      <c r="B33" s="638"/>
      <c r="C33" s="639"/>
      <c r="D33" s="639"/>
      <c r="E33" s="625"/>
      <c r="F33" s="627"/>
      <c r="G33" s="642"/>
      <c r="H33" s="643"/>
      <c r="I33" s="643"/>
      <c r="J33" s="643"/>
      <c r="K33" s="643"/>
      <c r="L33" s="643"/>
      <c r="M33" s="643"/>
      <c r="N33" s="643"/>
      <c r="O33" s="643"/>
      <c r="P33" s="643"/>
      <c r="Q33" s="643"/>
      <c r="R33" s="644"/>
      <c r="S33" s="648"/>
      <c r="T33" s="649"/>
      <c r="U33" s="648"/>
      <c r="V33" s="649"/>
      <c r="W33" s="648"/>
      <c r="X33" s="649"/>
      <c r="Y33" s="648"/>
      <c r="Z33" s="649"/>
      <c r="AA33" s="648"/>
      <c r="AB33" s="649"/>
      <c r="AC33" s="648"/>
      <c r="AD33" s="649"/>
      <c r="AE33" s="6"/>
    </row>
    <row r="34" spans="1:36" x14ac:dyDescent="0.25">
      <c r="A34" s="5"/>
      <c r="B34" s="640"/>
      <c r="C34" s="641"/>
      <c r="D34" s="641"/>
      <c r="E34" s="628"/>
      <c r="F34" s="630"/>
      <c r="G34" s="645"/>
      <c r="H34" s="646"/>
      <c r="I34" s="646"/>
      <c r="J34" s="646"/>
      <c r="K34" s="646"/>
      <c r="L34" s="646"/>
      <c r="M34" s="646"/>
      <c r="N34" s="646"/>
      <c r="O34" s="646"/>
      <c r="P34" s="646"/>
      <c r="Q34" s="646"/>
      <c r="R34" s="647"/>
      <c r="S34" s="650"/>
      <c r="T34" s="651"/>
      <c r="U34" s="650"/>
      <c r="V34" s="651"/>
      <c r="W34" s="650"/>
      <c r="X34" s="651"/>
      <c r="Y34" s="650"/>
      <c r="Z34" s="651"/>
      <c r="AA34" s="650"/>
      <c r="AB34" s="651"/>
      <c r="AC34" s="650"/>
      <c r="AD34" s="651"/>
      <c r="AE34" s="6"/>
    </row>
    <row r="35" spans="1:36" x14ac:dyDescent="0.25">
      <c r="A35" s="5"/>
      <c r="B35" s="11"/>
      <c r="C35" s="11"/>
      <c r="D35" s="11"/>
      <c r="E35" s="11"/>
      <c r="F35" s="11"/>
      <c r="G35" s="11"/>
      <c r="H35" s="11"/>
      <c r="I35" s="11"/>
      <c r="J35" s="11"/>
      <c r="K35" s="11"/>
      <c r="L35" s="11"/>
      <c r="M35" s="11"/>
      <c r="N35" s="11"/>
      <c r="O35" s="11"/>
      <c r="P35" s="11"/>
      <c r="Q35" s="11"/>
      <c r="R35" s="11"/>
      <c r="S35" s="11"/>
      <c r="T35" s="11"/>
      <c r="U35" s="11"/>
      <c r="V35" s="11"/>
      <c r="W35" s="11"/>
      <c r="X35" s="11"/>
      <c r="Y35" s="11"/>
      <c r="Z35" s="11"/>
      <c r="AA35" s="11"/>
      <c r="AB35" s="11"/>
      <c r="AC35" s="11"/>
      <c r="AD35" s="11"/>
      <c r="AE35" s="6"/>
    </row>
    <row r="36" spans="1:36" x14ac:dyDescent="0.25">
      <c r="A36" s="5"/>
      <c r="B36" s="11"/>
      <c r="C36" s="11"/>
      <c r="D36" s="11"/>
      <c r="E36" s="11"/>
      <c r="F36" s="11"/>
      <c r="G36" s="11"/>
      <c r="H36" s="11"/>
      <c r="I36" s="11"/>
      <c r="J36" s="11"/>
      <c r="K36" s="11"/>
      <c r="L36" s="11"/>
      <c r="M36" s="11"/>
      <c r="N36" s="11"/>
      <c r="O36" s="11"/>
      <c r="P36" s="11"/>
      <c r="Q36" s="11"/>
      <c r="R36" s="11"/>
      <c r="S36" s="11"/>
      <c r="T36" s="11"/>
      <c r="U36" s="11"/>
      <c r="V36" s="11"/>
      <c r="W36" s="11"/>
      <c r="X36" s="11"/>
      <c r="Y36" s="11"/>
      <c r="Z36" s="11"/>
      <c r="AA36" s="11"/>
      <c r="AB36" s="11"/>
      <c r="AC36" s="11"/>
      <c r="AD36" s="11"/>
      <c r="AE36" s="6"/>
    </row>
    <row r="37" spans="1:36" x14ac:dyDescent="0.25">
      <c r="A37" s="5"/>
      <c r="B37" s="11"/>
      <c r="C37" s="11"/>
      <c r="D37" s="11"/>
      <c r="E37" s="11"/>
      <c r="F37" s="11"/>
      <c r="G37" s="11"/>
      <c r="H37" s="11"/>
      <c r="I37" s="11"/>
      <c r="J37" s="11"/>
      <c r="K37" s="11"/>
      <c r="L37" s="11"/>
      <c r="M37" s="11"/>
      <c r="N37" s="11"/>
      <c r="O37" s="11"/>
      <c r="P37" s="11"/>
      <c r="Q37" s="11"/>
      <c r="R37" s="11"/>
      <c r="S37" s="11"/>
      <c r="T37" s="11"/>
      <c r="U37" s="11"/>
      <c r="V37" s="11"/>
      <c r="W37" s="11"/>
      <c r="X37" s="11"/>
      <c r="Y37" s="11"/>
      <c r="Z37" s="11"/>
      <c r="AA37" s="11"/>
      <c r="AB37" s="11"/>
      <c r="AC37" s="11"/>
      <c r="AD37" s="11"/>
      <c r="AE37" s="6"/>
    </row>
    <row r="38" spans="1:36" x14ac:dyDescent="0.25">
      <c r="A38" s="5"/>
      <c r="B38" s="12"/>
      <c r="C38" s="13"/>
      <c r="D38" s="13"/>
      <c r="E38" s="13"/>
      <c r="F38" s="13"/>
      <c r="G38" s="13"/>
      <c r="H38" s="13"/>
      <c r="I38" s="13"/>
      <c r="J38" s="13"/>
      <c r="K38" s="13"/>
      <c r="L38" s="13"/>
      <c r="M38" s="13"/>
      <c r="N38" s="13"/>
      <c r="O38" s="13"/>
      <c r="P38" s="13"/>
      <c r="Q38" s="13"/>
      <c r="R38" s="13"/>
      <c r="S38" s="13"/>
      <c r="T38" s="13"/>
      <c r="U38" s="13"/>
      <c r="V38" s="13"/>
      <c r="W38" s="13"/>
      <c r="X38" s="13"/>
      <c r="Y38" s="13"/>
      <c r="Z38" s="13"/>
      <c r="AA38" s="13"/>
      <c r="AB38" s="13"/>
      <c r="AC38" s="13"/>
      <c r="AD38" s="14"/>
      <c r="AE38" s="6"/>
    </row>
    <row r="39" spans="1:36" x14ac:dyDescent="0.25">
      <c r="A39" s="5"/>
      <c r="B39" s="15"/>
      <c r="C39" s="11"/>
      <c r="D39" s="11"/>
      <c r="E39" s="11"/>
      <c r="F39" s="11"/>
      <c r="G39" s="11"/>
      <c r="H39" s="11"/>
      <c r="I39" s="11"/>
      <c r="J39" s="11"/>
      <c r="K39" s="11"/>
      <c r="L39" s="11"/>
      <c r="M39" s="11"/>
      <c r="N39" s="11"/>
      <c r="O39" s="11"/>
      <c r="P39" s="11"/>
      <c r="Q39" s="11"/>
      <c r="R39" s="11"/>
      <c r="S39" s="11"/>
      <c r="T39" s="11"/>
      <c r="U39" s="11"/>
      <c r="V39" s="11"/>
      <c r="W39" s="11"/>
      <c r="X39" s="11"/>
      <c r="Y39" s="11"/>
      <c r="Z39" s="11"/>
      <c r="AA39" s="11"/>
      <c r="AB39" s="11"/>
      <c r="AC39" s="11"/>
      <c r="AD39" s="16"/>
      <c r="AE39" s="6"/>
    </row>
    <row r="40" spans="1:36" x14ac:dyDescent="0.25">
      <c r="A40" s="5"/>
      <c r="B40" s="15"/>
      <c r="C40" s="11"/>
      <c r="D40" s="11"/>
      <c r="E40" s="11"/>
      <c r="F40" s="11"/>
      <c r="G40" s="11"/>
      <c r="H40" s="11"/>
      <c r="I40" s="11"/>
      <c r="J40" s="11"/>
      <c r="K40" s="11"/>
      <c r="L40" s="11"/>
      <c r="M40" s="11"/>
      <c r="N40" s="11"/>
      <c r="O40" s="11"/>
      <c r="P40" s="11"/>
      <c r="Q40" s="11"/>
      <c r="R40" s="11"/>
      <c r="S40" s="11"/>
      <c r="T40" s="11"/>
      <c r="U40" s="11"/>
      <c r="V40" s="11"/>
      <c r="W40" s="11"/>
      <c r="X40" s="11"/>
      <c r="Y40" s="11"/>
      <c r="Z40" s="11"/>
      <c r="AA40" s="11"/>
      <c r="AB40" s="11"/>
      <c r="AC40" s="11"/>
      <c r="AD40" s="16"/>
      <c r="AE40" s="6"/>
    </row>
    <row r="41" spans="1:36" x14ac:dyDescent="0.25">
      <c r="A41" s="5"/>
      <c r="B41" s="15"/>
      <c r="C41" s="11"/>
      <c r="D41" s="11"/>
      <c r="E41" s="11"/>
      <c r="F41" s="11"/>
      <c r="G41" s="11"/>
      <c r="H41" s="11"/>
      <c r="I41" s="11"/>
      <c r="J41" s="11"/>
      <c r="K41" s="11"/>
      <c r="L41" s="11"/>
      <c r="M41" s="11"/>
      <c r="N41" s="11"/>
      <c r="O41" s="11"/>
      <c r="P41" s="11"/>
      <c r="Q41" s="11"/>
      <c r="R41" s="11"/>
      <c r="S41" s="11"/>
      <c r="T41" s="11"/>
      <c r="U41" s="11"/>
      <c r="V41" s="11"/>
      <c r="W41" s="11"/>
      <c r="X41" s="11"/>
      <c r="Y41" s="11"/>
      <c r="Z41" s="11"/>
      <c r="AA41" s="11"/>
      <c r="AB41" s="11"/>
      <c r="AC41" s="11"/>
      <c r="AD41" s="16"/>
      <c r="AE41" s="6"/>
    </row>
    <row r="42" spans="1:36" x14ac:dyDescent="0.25">
      <c r="A42" s="5"/>
      <c r="B42" s="15"/>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6"/>
      <c r="AE42" s="6"/>
    </row>
    <row r="43" spans="1:36" x14ac:dyDescent="0.25">
      <c r="A43" s="5"/>
      <c r="B43" s="17"/>
      <c r="C43" s="7"/>
      <c r="D43" s="7"/>
      <c r="E43" s="7"/>
      <c r="F43" s="7"/>
      <c r="G43" s="7"/>
      <c r="H43" s="7"/>
      <c r="I43" s="7"/>
      <c r="J43" s="7"/>
      <c r="K43" s="7"/>
      <c r="L43" s="7"/>
      <c r="M43" s="7"/>
      <c r="N43" s="7"/>
      <c r="O43" s="7"/>
      <c r="P43" s="7"/>
      <c r="Q43" s="7"/>
      <c r="R43" s="7"/>
      <c r="S43" s="7"/>
      <c r="T43" s="7"/>
      <c r="U43" s="7"/>
      <c r="V43" s="7"/>
      <c r="W43" s="7"/>
      <c r="X43" s="7"/>
      <c r="Y43" s="7"/>
      <c r="Z43" s="7"/>
      <c r="AA43" s="7"/>
      <c r="AB43" s="7"/>
      <c r="AC43" s="7"/>
      <c r="AD43" s="18"/>
      <c r="AE43" s="6"/>
    </row>
    <row r="44" spans="1:36" s="24" customFormat="1" x14ac:dyDescent="0.25">
      <c r="A44" s="19"/>
      <c r="B44" s="20"/>
      <c r="C44" s="21"/>
      <c r="D44" s="21"/>
      <c r="E44" s="21"/>
      <c r="F44" s="21"/>
      <c r="G44" s="21"/>
      <c r="H44" s="21"/>
      <c r="I44" s="652" t="s">
        <v>106</v>
      </c>
      <c r="J44" s="652"/>
      <c r="K44" s="652"/>
      <c r="L44" s="652"/>
      <c r="M44" s="652"/>
      <c r="N44" s="652"/>
      <c r="O44" s="652"/>
      <c r="P44" s="652"/>
      <c r="Q44" s="652"/>
      <c r="R44" s="652"/>
      <c r="S44" s="652"/>
      <c r="T44" s="652"/>
      <c r="U44" s="652"/>
      <c r="V44" s="21"/>
      <c r="W44" s="21"/>
      <c r="X44" s="21"/>
      <c r="Y44" s="21"/>
      <c r="Z44" s="21"/>
      <c r="AA44" s="21"/>
      <c r="AB44" s="21"/>
      <c r="AC44" s="21"/>
      <c r="AD44" s="22"/>
      <c r="AE44" s="23"/>
    </row>
    <row r="45" spans="1:36" x14ac:dyDescent="0.25">
      <c r="A45" s="5"/>
      <c r="B45" s="17"/>
      <c r="C45" s="7"/>
      <c r="D45" s="7"/>
      <c r="E45" s="7"/>
      <c r="F45" s="7"/>
      <c r="G45" s="7"/>
      <c r="H45" s="7"/>
      <c r="I45" s="652"/>
      <c r="J45" s="652"/>
      <c r="K45" s="652"/>
      <c r="L45" s="652"/>
      <c r="M45" s="652"/>
      <c r="N45" s="652"/>
      <c r="O45" s="652"/>
      <c r="P45" s="652"/>
      <c r="Q45" s="652"/>
      <c r="R45" s="652"/>
      <c r="S45" s="652"/>
      <c r="T45" s="652"/>
      <c r="U45" s="652"/>
      <c r="V45" s="7"/>
      <c r="W45" s="7"/>
      <c r="X45" s="7"/>
      <c r="Y45" s="7"/>
      <c r="Z45" s="7"/>
      <c r="AA45" s="7"/>
      <c r="AB45" s="7"/>
      <c r="AC45" s="7"/>
      <c r="AD45" s="18"/>
      <c r="AE45" s="6"/>
    </row>
    <row r="46" spans="1:36" x14ac:dyDescent="0.25">
      <c r="A46" s="5"/>
      <c r="B46" s="17"/>
      <c r="C46" s="7"/>
      <c r="D46" s="7"/>
      <c r="E46" s="7"/>
      <c r="F46" s="7"/>
      <c r="G46" s="7"/>
      <c r="H46" s="7"/>
      <c r="I46" s="652"/>
      <c r="J46" s="652"/>
      <c r="K46" s="652"/>
      <c r="L46" s="652"/>
      <c r="M46" s="652"/>
      <c r="N46" s="652"/>
      <c r="O46" s="652"/>
      <c r="P46" s="652"/>
      <c r="Q46" s="652"/>
      <c r="R46" s="652"/>
      <c r="S46" s="652"/>
      <c r="T46" s="652"/>
      <c r="U46" s="652"/>
      <c r="V46" s="7"/>
      <c r="W46" s="7"/>
      <c r="X46" s="7"/>
      <c r="Y46" s="7"/>
      <c r="Z46" s="7"/>
      <c r="AA46" s="7"/>
      <c r="AB46" s="7"/>
      <c r="AC46" s="7"/>
      <c r="AD46" s="18"/>
      <c r="AE46" s="6"/>
    </row>
    <row r="47" spans="1:36" x14ac:dyDescent="0.25">
      <c r="A47" s="5"/>
      <c r="B47" s="17"/>
      <c r="C47" s="7"/>
      <c r="D47" s="7"/>
      <c r="E47" s="7"/>
      <c r="F47" s="7"/>
      <c r="G47" s="7"/>
      <c r="H47" s="7"/>
      <c r="I47" s="652"/>
      <c r="J47" s="652"/>
      <c r="K47" s="652"/>
      <c r="L47" s="652"/>
      <c r="M47" s="652"/>
      <c r="N47" s="652"/>
      <c r="O47" s="652"/>
      <c r="P47" s="652"/>
      <c r="Q47" s="652"/>
      <c r="R47" s="652"/>
      <c r="S47" s="652"/>
      <c r="T47" s="652"/>
      <c r="U47" s="652"/>
      <c r="V47" s="7"/>
      <c r="W47" s="7"/>
      <c r="X47" s="7"/>
      <c r="Y47" s="7"/>
      <c r="Z47" s="7"/>
      <c r="AA47" s="7"/>
      <c r="AB47" s="7"/>
      <c r="AC47" s="7"/>
      <c r="AD47" s="18"/>
      <c r="AE47" s="6"/>
      <c r="AF47" s="7"/>
      <c r="AG47" s="7"/>
      <c r="AH47" s="7"/>
      <c r="AI47" s="7"/>
      <c r="AJ47" s="7"/>
    </row>
    <row r="48" spans="1:36" x14ac:dyDescent="0.25">
      <c r="A48" s="5"/>
      <c r="B48" s="25"/>
      <c r="C48" s="26"/>
      <c r="D48" s="26"/>
      <c r="E48" s="26"/>
      <c r="F48" s="26"/>
      <c r="G48" s="26"/>
      <c r="H48" s="26"/>
      <c r="I48" s="653"/>
      <c r="J48" s="653"/>
      <c r="K48" s="653"/>
      <c r="L48" s="653"/>
      <c r="M48" s="653"/>
      <c r="N48" s="653"/>
      <c r="O48" s="653"/>
      <c r="P48" s="653"/>
      <c r="Q48" s="653"/>
      <c r="R48" s="653"/>
      <c r="S48" s="653"/>
      <c r="T48" s="653"/>
      <c r="U48" s="653"/>
      <c r="V48" s="27"/>
      <c r="W48" s="27"/>
      <c r="X48" s="27"/>
      <c r="Y48" s="27"/>
      <c r="Z48" s="27"/>
      <c r="AA48" s="27"/>
      <c r="AB48" s="27"/>
      <c r="AC48" s="27"/>
      <c r="AD48" s="28"/>
      <c r="AE48" s="6"/>
      <c r="AF48" s="7"/>
      <c r="AG48" s="7"/>
      <c r="AH48" s="7"/>
      <c r="AI48" s="7"/>
      <c r="AJ48" s="7"/>
    </row>
    <row r="49" spans="1:36" x14ac:dyDescent="0.25">
      <c r="A49" s="5"/>
      <c r="B49" s="7"/>
      <c r="C49" s="7"/>
      <c r="D49" s="7"/>
      <c r="E49" s="7"/>
      <c r="F49" s="7"/>
      <c r="G49" s="7"/>
      <c r="H49" s="7"/>
      <c r="I49" s="7"/>
      <c r="J49" s="7"/>
      <c r="K49" s="7"/>
      <c r="L49" s="7"/>
      <c r="M49" s="7"/>
      <c r="N49" s="7"/>
      <c r="O49" s="7"/>
      <c r="P49" s="7"/>
      <c r="Q49" s="7"/>
      <c r="R49" s="7"/>
      <c r="S49" s="29"/>
      <c r="T49" s="29"/>
      <c r="U49" s="29"/>
      <c r="V49" s="29"/>
      <c r="W49" s="29"/>
      <c r="X49" s="29"/>
      <c r="Y49" s="29"/>
      <c r="Z49" s="29"/>
      <c r="AA49" s="29"/>
      <c r="AB49" s="29"/>
      <c r="AC49" s="29"/>
      <c r="AD49" s="29"/>
      <c r="AE49" s="6"/>
      <c r="AF49" s="7"/>
      <c r="AG49" s="7"/>
      <c r="AH49" s="7"/>
      <c r="AI49" s="7"/>
      <c r="AJ49" s="7"/>
    </row>
    <row r="50" spans="1:36" ht="13" thickBot="1" x14ac:dyDescent="0.3">
      <c r="A50" s="30"/>
      <c r="B50" s="31"/>
      <c r="C50" s="31"/>
      <c r="D50" s="31"/>
      <c r="E50" s="32"/>
      <c r="F50" s="31"/>
      <c r="G50" s="31"/>
      <c r="H50" s="31"/>
      <c r="I50" s="31"/>
      <c r="J50" s="31"/>
      <c r="K50" s="31"/>
      <c r="L50" s="31"/>
      <c r="M50" s="31"/>
      <c r="N50" s="31"/>
      <c r="O50" s="31"/>
      <c r="P50" s="31"/>
      <c r="Q50" s="31"/>
      <c r="R50" s="31"/>
      <c r="S50" s="33"/>
      <c r="T50" s="33"/>
      <c r="U50" s="33"/>
      <c r="V50" s="33"/>
      <c r="W50" s="33"/>
      <c r="X50" s="33"/>
      <c r="Y50" s="33"/>
      <c r="Z50" s="33"/>
      <c r="AA50" s="33"/>
      <c r="AB50" s="33"/>
      <c r="AC50" s="33"/>
      <c r="AD50" s="33"/>
      <c r="AE50" s="34"/>
      <c r="AF50" s="7"/>
      <c r="AG50" s="7"/>
      <c r="AH50" s="7"/>
      <c r="AI50" s="7"/>
      <c r="AJ50" s="7"/>
    </row>
    <row r="51" spans="1:36" ht="13" thickTop="1" x14ac:dyDescent="0.25">
      <c r="B51" s="7"/>
      <c r="C51" s="7"/>
      <c r="D51" s="7"/>
      <c r="E51" s="7"/>
      <c r="F51" s="7"/>
      <c r="G51" s="7"/>
      <c r="H51" s="7"/>
      <c r="I51" s="7"/>
      <c r="J51" s="7"/>
      <c r="K51" s="7"/>
      <c r="L51" s="7"/>
      <c r="M51" s="7"/>
      <c r="N51" s="7"/>
      <c r="O51" s="7"/>
      <c r="P51" s="7"/>
      <c r="Q51" s="7"/>
      <c r="R51" s="7"/>
      <c r="S51" s="7"/>
      <c r="T51" s="7"/>
      <c r="U51" s="7"/>
      <c r="V51" s="7"/>
      <c r="W51" s="7"/>
      <c r="X51" s="7"/>
      <c r="Y51" s="7"/>
      <c r="Z51" s="7"/>
      <c r="AA51" s="7"/>
      <c r="AB51" s="7"/>
      <c r="AC51" s="7"/>
      <c r="AD51" s="7"/>
      <c r="AE51" s="7"/>
      <c r="AF51" s="7"/>
      <c r="AG51" s="7"/>
      <c r="AH51" s="7"/>
      <c r="AI51" s="7"/>
      <c r="AJ51" s="7"/>
    </row>
    <row r="52" spans="1:36" x14ac:dyDescent="0.25">
      <c r="B52" s="7"/>
      <c r="C52" s="7"/>
      <c r="D52" s="7"/>
      <c r="E52" s="7"/>
      <c r="F52" s="7"/>
      <c r="G52" s="7"/>
      <c r="H52" s="7"/>
      <c r="I52" s="7"/>
      <c r="J52" s="7"/>
      <c r="K52" s="7"/>
      <c r="L52" s="7"/>
      <c r="M52" s="7"/>
      <c r="N52" s="7"/>
      <c r="O52" s="7"/>
      <c r="P52" s="7"/>
      <c r="Q52" s="7"/>
      <c r="R52" s="7"/>
      <c r="S52" s="7"/>
      <c r="T52" s="7"/>
      <c r="U52" s="7"/>
      <c r="V52" s="7"/>
      <c r="W52" s="7"/>
      <c r="X52" s="7"/>
      <c r="Y52" s="7"/>
      <c r="Z52" s="7"/>
      <c r="AA52" s="7"/>
      <c r="AB52" s="7"/>
      <c r="AC52" s="7"/>
      <c r="AD52" s="7"/>
      <c r="AE52" s="7"/>
      <c r="AF52" s="7"/>
      <c r="AG52" s="7"/>
      <c r="AH52" s="7"/>
      <c r="AI52" s="7"/>
      <c r="AJ52" s="7"/>
    </row>
    <row r="53" spans="1:36" x14ac:dyDescent="0.25">
      <c r="B53" s="7"/>
      <c r="C53" s="7"/>
      <c r="D53" s="7"/>
      <c r="E53" s="7"/>
      <c r="F53" s="7"/>
      <c r="G53" s="7"/>
      <c r="H53" s="7"/>
      <c r="I53" s="7"/>
      <c r="J53" s="7"/>
      <c r="K53" s="7"/>
      <c r="L53" s="7"/>
      <c r="M53" s="7"/>
      <c r="N53" s="7"/>
      <c r="O53" s="7"/>
      <c r="P53" s="7"/>
      <c r="Q53" s="7"/>
      <c r="R53" s="7"/>
      <c r="S53" s="7"/>
      <c r="T53" s="7"/>
      <c r="U53" s="7"/>
      <c r="V53" s="7"/>
      <c r="W53" s="7"/>
      <c r="X53" s="7"/>
      <c r="Y53" s="7"/>
      <c r="Z53" s="7"/>
      <c r="AA53" s="7"/>
      <c r="AB53" s="7"/>
      <c r="AC53" s="7"/>
      <c r="AD53" s="7"/>
      <c r="AE53" s="7"/>
      <c r="AF53" s="7"/>
      <c r="AG53" s="7"/>
      <c r="AH53" s="7"/>
      <c r="AI53" s="7"/>
      <c r="AJ53" s="7"/>
    </row>
    <row r="54" spans="1:36" x14ac:dyDescent="0.25">
      <c r="B54" s="7"/>
      <c r="C54" s="7"/>
      <c r="D54" s="7"/>
      <c r="E54" s="7"/>
      <c r="F54" s="7"/>
      <c r="G54" s="7"/>
      <c r="H54" s="7"/>
      <c r="I54" s="7"/>
      <c r="J54" s="7"/>
      <c r="K54" s="7"/>
      <c r="L54" s="7"/>
      <c r="M54" s="7"/>
      <c r="N54" s="7"/>
      <c r="O54" s="7"/>
      <c r="P54" s="7"/>
      <c r="Q54" s="7"/>
      <c r="R54" s="7"/>
      <c r="S54" s="7"/>
      <c r="T54" s="7"/>
      <c r="U54" s="7"/>
      <c r="V54" s="7"/>
      <c r="W54" s="7"/>
      <c r="X54" s="7"/>
      <c r="Y54" s="7"/>
      <c r="Z54" s="7"/>
      <c r="AA54" s="7"/>
      <c r="AB54" s="7"/>
      <c r="AC54" s="7"/>
      <c r="AD54" s="7"/>
      <c r="AE54" s="7"/>
      <c r="AF54" s="7"/>
      <c r="AG54" s="7"/>
      <c r="AH54" s="7"/>
      <c r="AI54" s="7"/>
      <c r="AJ54" s="7"/>
    </row>
  </sheetData>
  <mergeCells count="59">
    <mergeCell ref="W29:X30"/>
    <mergeCell ref="Y29:Z30"/>
    <mergeCell ref="AA29:AB30"/>
    <mergeCell ref="AC29:AD30"/>
    <mergeCell ref="B29:D30"/>
    <mergeCell ref="E29:F30"/>
    <mergeCell ref="G29:R30"/>
    <mergeCell ref="S29:T30"/>
    <mergeCell ref="U29:V30"/>
    <mergeCell ref="AA33:AB34"/>
    <mergeCell ref="AC33:AD34"/>
    <mergeCell ref="I44:U48"/>
    <mergeCell ref="Y31:Z32"/>
    <mergeCell ref="AA31:AB32"/>
    <mergeCell ref="AC31:AD32"/>
    <mergeCell ref="W33:X34"/>
    <mergeCell ref="Y33:Z34"/>
    <mergeCell ref="W31:X32"/>
    <mergeCell ref="B33:D34"/>
    <mergeCell ref="E33:F34"/>
    <mergeCell ref="G33:R34"/>
    <mergeCell ref="S33:T34"/>
    <mergeCell ref="U33:V34"/>
    <mergeCell ref="B31:D32"/>
    <mergeCell ref="E31:F32"/>
    <mergeCell ref="G31:R32"/>
    <mergeCell ref="S31:T32"/>
    <mergeCell ref="U31:V32"/>
    <mergeCell ref="AA27:AD27"/>
    <mergeCell ref="S28:T28"/>
    <mergeCell ref="U28:V28"/>
    <mergeCell ref="W28:X28"/>
    <mergeCell ref="Y28:Z28"/>
    <mergeCell ref="AA28:AB28"/>
    <mergeCell ref="AC28:AD28"/>
    <mergeCell ref="H23:K24"/>
    <mergeCell ref="L23:O24"/>
    <mergeCell ref="P23:S24"/>
    <mergeCell ref="T23:W24"/>
    <mergeCell ref="X23:AA24"/>
    <mergeCell ref="B27:D28"/>
    <mergeCell ref="E27:F28"/>
    <mergeCell ref="G27:R28"/>
    <mergeCell ref="S27:V27"/>
    <mergeCell ref="W27:Z27"/>
    <mergeCell ref="H17:AD18"/>
    <mergeCell ref="AJ17:BF18"/>
    <mergeCell ref="H22:K22"/>
    <mergeCell ref="L22:O22"/>
    <mergeCell ref="P22:S22"/>
    <mergeCell ref="T22:W22"/>
    <mergeCell ref="X22:AA22"/>
    <mergeCell ref="H14:AD15"/>
    <mergeCell ref="AJ14:BF15"/>
    <mergeCell ref="B2:AD4"/>
    <mergeCell ref="H7:AD9"/>
    <mergeCell ref="AJ7:BF9"/>
    <mergeCell ref="H11:AD12"/>
    <mergeCell ref="AJ11:BF12"/>
  </mergeCells>
  <pageMargins left="0.7" right="0.7" top="0.75" bottom="0.75" header="0.3" footer="0.3"/>
  <pageSetup paperSize="9" scale="9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view="pageBreakPreview" zoomScaleNormal="100" zoomScaleSheetLayoutView="100" workbookViewId="0">
      <selection activeCell="AE113" sqref="AE113"/>
    </sheetView>
  </sheetViews>
  <sheetFormatPr defaultColWidth="9.1796875" defaultRowHeight="14" x14ac:dyDescent="0.35"/>
  <cols>
    <col min="1" max="1" width="3.453125" style="36" customWidth="1"/>
    <col min="2" max="2" width="15.7265625" style="36" customWidth="1"/>
    <col min="3" max="3" width="46.26953125" style="44" customWidth="1"/>
    <col min="4" max="4" width="2" style="36" customWidth="1"/>
    <col min="5" max="5" width="4.26953125" style="36" customWidth="1"/>
    <col min="6" max="6" width="3.7265625" style="36" customWidth="1"/>
    <col min="7" max="8" width="2.54296875" style="36" customWidth="1"/>
    <col min="9" max="16384" width="9.1796875" style="36"/>
  </cols>
  <sheetData>
    <row r="1" spans="1:8" ht="15" x14ac:dyDescent="0.35">
      <c r="A1" s="654" t="s">
        <v>107</v>
      </c>
      <c r="B1" s="654"/>
      <c r="C1" s="654"/>
      <c r="D1" s="654"/>
      <c r="E1" s="654"/>
      <c r="F1" s="35"/>
      <c r="G1" s="35"/>
      <c r="H1" s="35"/>
    </row>
    <row r="3" spans="1:8" s="37" customFormat="1" x14ac:dyDescent="0.35">
      <c r="B3" s="38" t="s">
        <v>108</v>
      </c>
      <c r="C3" s="39" t="s">
        <v>109</v>
      </c>
      <c r="D3" s="40"/>
    </row>
    <row r="4" spans="1:8" s="37" customFormat="1" ht="15" customHeight="1" x14ac:dyDescent="0.35">
      <c r="B4" s="38">
        <v>1</v>
      </c>
      <c r="C4" s="41" t="s">
        <v>110</v>
      </c>
      <c r="D4" s="40"/>
    </row>
    <row r="5" spans="1:8" ht="15" customHeight="1" x14ac:dyDescent="0.35">
      <c r="B5" s="38">
        <v>2</v>
      </c>
      <c r="C5" s="41" t="s">
        <v>501</v>
      </c>
      <c r="D5" s="42"/>
    </row>
    <row r="6" spans="1:8" ht="15" customHeight="1" x14ac:dyDescent="0.35">
      <c r="B6" s="38">
        <v>3</v>
      </c>
      <c r="C6" s="41" t="s">
        <v>502</v>
      </c>
      <c r="D6" s="42"/>
    </row>
    <row r="7" spans="1:8" ht="15" customHeight="1" x14ac:dyDescent="0.35">
      <c r="B7" s="38">
        <v>4</v>
      </c>
      <c r="C7" s="41" t="s">
        <v>76</v>
      </c>
      <c r="D7" s="42"/>
    </row>
    <row r="8" spans="1:8" ht="15" customHeight="1" x14ac:dyDescent="0.35">
      <c r="B8" s="38">
        <v>5</v>
      </c>
      <c r="C8" s="41" t="s">
        <v>503</v>
      </c>
      <c r="D8" s="42"/>
    </row>
    <row r="9" spans="1:8" ht="15" customHeight="1" x14ac:dyDescent="0.35">
      <c r="B9" s="38">
        <v>6</v>
      </c>
      <c r="C9" s="41" t="s">
        <v>504</v>
      </c>
      <c r="D9" s="42"/>
    </row>
    <row r="10" spans="1:8" ht="15" customHeight="1" x14ac:dyDescent="0.35">
      <c r="B10" s="475"/>
      <c r="C10" s="475"/>
      <c r="D10" s="42"/>
    </row>
    <row r="11" spans="1:8" s="42" customFormat="1" x14ac:dyDescent="0.35">
      <c r="B11" s="476"/>
      <c r="C11" s="476"/>
    </row>
    <row r="12" spans="1:8" s="42" customFormat="1" x14ac:dyDescent="0.35">
      <c r="B12" s="476"/>
      <c r="C12" s="476"/>
    </row>
    <row r="13" spans="1:8" s="42" customFormat="1" x14ac:dyDescent="0.35">
      <c r="B13" s="476"/>
      <c r="C13" s="476"/>
    </row>
    <row r="14" spans="1:8" s="42" customFormat="1" x14ac:dyDescent="0.35">
      <c r="B14" s="476"/>
      <c r="C14" s="476"/>
    </row>
    <row r="15" spans="1:8" s="42" customFormat="1" x14ac:dyDescent="0.35">
      <c r="B15" s="476"/>
      <c r="C15" s="476"/>
    </row>
    <row r="16" spans="1:8" x14ac:dyDescent="0.35">
      <c r="B16" s="40"/>
      <c r="C16" s="43"/>
    </row>
    <row r="17" spans="2:3" x14ac:dyDescent="0.35">
      <c r="B17" s="40"/>
      <c r="C17" s="43"/>
    </row>
    <row r="18" spans="2:3" x14ac:dyDescent="0.35">
      <c r="B18" s="40"/>
      <c r="C18" s="43"/>
    </row>
  </sheetData>
  <mergeCells count="1">
    <mergeCell ref="A1:E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
  <sheetViews>
    <sheetView view="pageBreakPreview" zoomScaleNormal="100" zoomScaleSheetLayoutView="100" workbookViewId="0">
      <selection activeCell="AE113" sqref="AE113"/>
    </sheetView>
  </sheetViews>
  <sheetFormatPr defaultColWidth="9.1796875" defaultRowHeight="14" x14ac:dyDescent="0.3"/>
  <cols>
    <col min="1" max="4" width="4" style="45" customWidth="1"/>
    <col min="5" max="8" width="4.1796875" style="45" customWidth="1"/>
    <col min="9" max="10" width="17.1796875" style="45" customWidth="1"/>
    <col min="11" max="11" width="10.54296875" style="45" customWidth="1"/>
    <col min="12" max="12" width="10.7265625" style="45" customWidth="1"/>
    <col min="13" max="31" width="2" style="45" customWidth="1"/>
    <col min="32" max="16384" width="9.1796875" style="45"/>
  </cols>
  <sheetData>
    <row r="1" spans="1:13" ht="9" customHeight="1" x14ac:dyDescent="0.3"/>
    <row r="2" spans="1:13" ht="15" customHeight="1" x14ac:dyDescent="0.3">
      <c r="A2" s="657" t="s">
        <v>111</v>
      </c>
      <c r="B2" s="657"/>
      <c r="C2" s="657"/>
      <c r="D2" s="658" t="str">
        <f>'Front Page'!H7</f>
        <v>TWO LANING WITH PAVED SHOULDER OF GADCHIROLI TO MUL SECTION OF NH-930 FROM KM 189.000 TO KM 229.692 &amp; KM 232.489 TO KM 233.414 (APPROX. LENGTH-41.617 KM) IN THE STATE OF MAHARASHTRA</v>
      </c>
      <c r="E2" s="658"/>
      <c r="F2" s="658"/>
      <c r="G2" s="658"/>
      <c r="H2" s="658"/>
      <c r="I2" s="658"/>
      <c r="J2" s="658"/>
      <c r="K2" s="658"/>
      <c r="L2" s="658"/>
    </row>
    <row r="3" spans="1:13" ht="24.75" customHeight="1" x14ac:dyDescent="0.3">
      <c r="A3" s="657"/>
      <c r="B3" s="657"/>
      <c r="C3" s="657"/>
      <c r="D3" s="658"/>
      <c r="E3" s="658"/>
      <c r="F3" s="658"/>
      <c r="G3" s="658"/>
      <c r="H3" s="658"/>
      <c r="I3" s="658"/>
      <c r="J3" s="658"/>
      <c r="K3" s="658"/>
      <c r="L3" s="658"/>
    </row>
    <row r="4" spans="1:13" ht="7.5" customHeight="1" x14ac:dyDescent="0.3">
      <c r="A4" s="657" t="s">
        <v>112</v>
      </c>
      <c r="B4" s="657"/>
      <c r="C4" s="657"/>
      <c r="D4" s="659" t="str">
        <f>'Front Page'!H17</f>
        <v>DESIGN OF RCC RETAINING WALL (TOE WALL) FOR HEIGHT  
 UPTO 4m Height</v>
      </c>
      <c r="E4" s="659"/>
      <c r="F4" s="659"/>
      <c r="G4" s="659"/>
      <c r="H4" s="659"/>
      <c r="I4" s="659"/>
      <c r="J4" s="659"/>
      <c r="K4" s="659"/>
      <c r="L4" s="659"/>
    </row>
    <row r="5" spans="1:13" ht="9" customHeight="1" x14ac:dyDescent="0.3">
      <c r="A5" s="657"/>
      <c r="B5" s="657"/>
      <c r="C5" s="657"/>
      <c r="D5" s="659"/>
      <c r="E5" s="659"/>
      <c r="F5" s="659"/>
      <c r="G5" s="659"/>
      <c r="H5" s="659"/>
      <c r="I5" s="659"/>
      <c r="J5" s="659"/>
      <c r="K5" s="659"/>
      <c r="L5" s="659"/>
    </row>
    <row r="8" spans="1:13" x14ac:dyDescent="0.3">
      <c r="A8" s="46">
        <v>1</v>
      </c>
      <c r="B8" s="47" t="s">
        <v>113</v>
      </c>
    </row>
    <row r="10" spans="1:13" ht="47.25" customHeight="1" x14ac:dyDescent="0.3">
      <c r="B10" s="656" t="s">
        <v>500</v>
      </c>
      <c r="C10" s="656"/>
      <c r="D10" s="656"/>
      <c r="E10" s="656"/>
      <c r="F10" s="656"/>
      <c r="G10" s="656"/>
      <c r="H10" s="656"/>
      <c r="I10" s="656"/>
      <c r="J10" s="656"/>
      <c r="K10" s="656"/>
      <c r="L10" s="656"/>
      <c r="M10" s="48"/>
    </row>
    <row r="11" spans="1:13" x14ac:dyDescent="0.3">
      <c r="B11" s="49"/>
      <c r="C11" s="49"/>
      <c r="D11" s="49"/>
      <c r="E11" s="49"/>
      <c r="F11" s="49"/>
      <c r="G11" s="49"/>
      <c r="H11" s="49"/>
      <c r="I11" s="49"/>
      <c r="J11" s="49"/>
      <c r="K11" s="49"/>
      <c r="L11" s="49"/>
    </row>
    <row r="12" spans="1:13" x14ac:dyDescent="0.3">
      <c r="B12" s="49"/>
      <c r="C12" s="49"/>
      <c r="D12" s="49"/>
      <c r="E12" s="49"/>
      <c r="F12" s="49"/>
      <c r="G12" s="49"/>
      <c r="H12" s="49"/>
      <c r="I12" s="49"/>
      <c r="J12" s="49"/>
      <c r="K12" s="49"/>
      <c r="L12" s="49"/>
    </row>
    <row r="14" spans="1:13" x14ac:dyDescent="0.3">
      <c r="A14" s="46"/>
      <c r="B14" s="47" t="s">
        <v>114</v>
      </c>
    </row>
    <row r="15" spans="1:13" x14ac:dyDescent="0.3">
      <c r="B15" s="47"/>
    </row>
    <row r="16" spans="1:13" ht="34.5" customHeight="1" x14ac:dyDescent="0.3">
      <c r="B16" s="656" t="s">
        <v>115</v>
      </c>
      <c r="C16" s="656"/>
      <c r="D16" s="656"/>
      <c r="E16" s="656"/>
      <c r="F16" s="656"/>
      <c r="G16" s="656"/>
      <c r="H16" s="656"/>
      <c r="I16" s="656"/>
      <c r="J16" s="656"/>
      <c r="K16" s="656"/>
      <c r="L16" s="656"/>
      <c r="M16" s="50"/>
    </row>
    <row r="17" spans="1:12" ht="6" customHeight="1" x14ac:dyDescent="0.3"/>
    <row r="18" spans="1:12" ht="6" customHeight="1" x14ac:dyDescent="0.3"/>
    <row r="19" spans="1:12" s="51" customFormat="1" ht="28.5" customHeight="1" x14ac:dyDescent="0.35">
      <c r="B19" s="52">
        <v>1</v>
      </c>
      <c r="D19" s="51" t="s">
        <v>510</v>
      </c>
      <c r="H19" s="655" t="s">
        <v>116</v>
      </c>
      <c r="I19" s="655"/>
      <c r="J19" s="655"/>
      <c r="K19" s="655"/>
      <c r="L19" s="655"/>
    </row>
    <row r="20" spans="1:12" s="51" customFormat="1" x14ac:dyDescent="0.35">
      <c r="B20" s="52"/>
      <c r="H20" s="451"/>
      <c r="I20" s="451"/>
      <c r="J20" s="451"/>
      <c r="K20" s="451"/>
      <c r="L20" s="451"/>
    </row>
    <row r="21" spans="1:12" s="51" customFormat="1" x14ac:dyDescent="0.35">
      <c r="B21" s="52">
        <v>2</v>
      </c>
      <c r="D21" s="51" t="s">
        <v>117</v>
      </c>
      <c r="H21" s="655" t="s">
        <v>118</v>
      </c>
      <c r="I21" s="655"/>
      <c r="J21" s="655"/>
      <c r="K21" s="655"/>
      <c r="L21" s="655"/>
    </row>
    <row r="22" spans="1:12" s="51" customFormat="1" x14ac:dyDescent="0.35">
      <c r="B22" s="52"/>
      <c r="H22" s="451"/>
      <c r="I22" s="451"/>
      <c r="J22" s="451"/>
      <c r="K22" s="451"/>
      <c r="L22" s="451"/>
    </row>
    <row r="23" spans="1:12" s="51" customFormat="1" ht="28.5" customHeight="1" x14ac:dyDescent="0.35">
      <c r="B23" s="52">
        <v>3</v>
      </c>
      <c r="D23" s="51" t="s">
        <v>119</v>
      </c>
      <c r="H23" s="655" t="s">
        <v>120</v>
      </c>
      <c r="I23" s="655"/>
      <c r="J23" s="655"/>
      <c r="K23" s="655"/>
      <c r="L23" s="655"/>
    </row>
    <row r="24" spans="1:12" s="51" customFormat="1" x14ac:dyDescent="0.35"/>
    <row r="25" spans="1:12" x14ac:dyDescent="0.3">
      <c r="A25" s="46"/>
      <c r="B25" s="47"/>
    </row>
    <row r="27" spans="1:12" x14ac:dyDescent="0.3">
      <c r="B27" s="271"/>
      <c r="C27" s="271"/>
      <c r="D27" s="271"/>
      <c r="E27" s="271"/>
      <c r="F27" s="271"/>
      <c r="G27" s="271"/>
      <c r="H27" s="271"/>
      <c r="I27" s="271"/>
      <c r="J27" s="271"/>
      <c r="K27" s="271"/>
      <c r="L27" s="271"/>
    </row>
    <row r="28" spans="1:12" x14ac:dyDescent="0.3">
      <c r="B28" s="271"/>
      <c r="C28" s="271"/>
      <c r="D28" s="271"/>
      <c r="E28" s="271"/>
      <c r="F28" s="271"/>
      <c r="G28" s="271"/>
      <c r="H28" s="271"/>
      <c r="I28" s="271"/>
      <c r="J28" s="271"/>
      <c r="K28" s="271"/>
      <c r="L28" s="271"/>
    </row>
    <row r="29" spans="1:12" x14ac:dyDescent="0.3">
      <c r="B29" s="271"/>
      <c r="C29" s="271"/>
      <c r="D29" s="271"/>
      <c r="E29" s="271"/>
      <c r="F29" s="271"/>
      <c r="G29" s="271"/>
      <c r="H29" s="271"/>
      <c r="I29" s="271"/>
      <c r="J29" s="271"/>
      <c r="K29" s="271"/>
      <c r="L29" s="271"/>
    </row>
    <row r="30" spans="1:12" x14ac:dyDescent="0.3">
      <c r="B30" s="271"/>
      <c r="C30" s="271"/>
      <c r="D30" s="271"/>
      <c r="E30" s="271"/>
      <c r="F30" s="271"/>
      <c r="G30" s="271"/>
      <c r="H30" s="271"/>
      <c r="I30" s="271"/>
      <c r="J30" s="271"/>
      <c r="K30" s="271"/>
      <c r="L30" s="271"/>
    </row>
    <row r="31" spans="1:12" x14ac:dyDescent="0.3">
      <c r="B31" s="271"/>
      <c r="C31" s="271"/>
      <c r="D31" s="271"/>
      <c r="E31" s="271"/>
      <c r="F31" s="271"/>
      <c r="G31" s="271"/>
      <c r="H31" s="271"/>
      <c r="I31" s="271"/>
      <c r="J31" s="271"/>
      <c r="K31" s="271"/>
      <c r="L31" s="271"/>
    </row>
  </sheetData>
  <mergeCells count="9">
    <mergeCell ref="H21:L21"/>
    <mergeCell ref="H23:L23"/>
    <mergeCell ref="B16:L16"/>
    <mergeCell ref="B10:L10"/>
    <mergeCell ref="A2:C3"/>
    <mergeCell ref="A4:C5"/>
    <mergeCell ref="D2:L3"/>
    <mergeCell ref="D4:L5"/>
    <mergeCell ref="H19:L19"/>
  </mergeCells>
  <pageMargins left="0.7" right="0.7" top="0.75" bottom="0.75" header="0.3" footer="0.3"/>
  <pageSetup paperSize="9" scale="9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O673"/>
  <sheetViews>
    <sheetView view="pageBreakPreview" topLeftCell="A96" zoomScaleNormal="100" zoomScaleSheetLayoutView="100" workbookViewId="0">
      <selection activeCell="AE113" sqref="AE113"/>
    </sheetView>
  </sheetViews>
  <sheetFormatPr defaultColWidth="9.1796875" defaultRowHeight="14" x14ac:dyDescent="0.35"/>
  <cols>
    <col min="1" max="2" width="2.26953125" style="36" customWidth="1"/>
    <col min="3" max="3" width="2.26953125" style="124" customWidth="1"/>
    <col min="4" max="49" width="2.26953125" style="36" customWidth="1"/>
    <col min="50" max="204" width="2" style="36" customWidth="1"/>
    <col min="205" max="16384" width="9.1796875" style="36"/>
  </cols>
  <sheetData>
    <row r="1" spans="1:72" ht="15" customHeight="1" x14ac:dyDescent="0.35">
      <c r="A1" s="657" t="s">
        <v>111</v>
      </c>
      <c r="B1" s="657"/>
      <c r="C1" s="657"/>
      <c r="D1" s="657"/>
      <c r="E1" s="657"/>
      <c r="F1" s="658" t="str">
        <f>Introduction!D2</f>
        <v>TWO LANING WITH PAVED SHOULDER OF GADCHIROLI TO MUL SECTION OF NH-930 FROM KM 189.000 TO KM 229.692 &amp; KM 232.489 TO KM 233.414 (APPROX. LENGTH-41.617 KM) IN THE STATE OF MAHARASHTRA</v>
      </c>
      <c r="G1" s="658"/>
      <c r="H1" s="658"/>
      <c r="I1" s="658"/>
      <c r="J1" s="658"/>
      <c r="K1" s="658"/>
      <c r="L1" s="658"/>
      <c r="M1" s="658"/>
      <c r="N1" s="658"/>
      <c r="O1" s="658"/>
      <c r="P1" s="658"/>
      <c r="Q1" s="658"/>
      <c r="R1" s="658"/>
      <c r="S1" s="658"/>
      <c r="T1" s="658"/>
      <c r="U1" s="658"/>
      <c r="V1" s="658"/>
      <c r="W1" s="658"/>
      <c r="X1" s="658"/>
      <c r="Y1" s="658"/>
      <c r="Z1" s="658"/>
      <c r="AA1" s="658"/>
      <c r="AB1" s="658"/>
      <c r="AC1" s="658"/>
      <c r="AD1" s="658"/>
      <c r="AE1" s="658"/>
      <c r="AF1" s="658"/>
      <c r="AG1" s="658"/>
      <c r="AH1" s="658"/>
      <c r="AI1" s="658"/>
      <c r="AJ1" s="658"/>
      <c r="AK1" s="658"/>
      <c r="AL1" s="658"/>
      <c r="AM1" s="658"/>
      <c r="AN1" s="658"/>
      <c r="AO1" s="658"/>
      <c r="AP1" s="658"/>
      <c r="AQ1" s="658"/>
    </row>
    <row r="2" spans="1:72" s="305" customFormat="1" ht="27" customHeight="1" x14ac:dyDescent="0.35">
      <c r="A2" s="657"/>
      <c r="B2" s="657"/>
      <c r="C2" s="657"/>
      <c r="D2" s="657"/>
      <c r="E2" s="657"/>
      <c r="F2" s="658"/>
      <c r="G2" s="658"/>
      <c r="H2" s="658"/>
      <c r="I2" s="658"/>
      <c r="J2" s="658"/>
      <c r="K2" s="658"/>
      <c r="L2" s="658"/>
      <c r="M2" s="658"/>
      <c r="N2" s="658"/>
      <c r="O2" s="658"/>
      <c r="P2" s="658"/>
      <c r="Q2" s="658"/>
      <c r="R2" s="658"/>
      <c r="S2" s="658"/>
      <c r="T2" s="658"/>
      <c r="U2" s="658"/>
      <c r="V2" s="658"/>
      <c r="W2" s="658"/>
      <c r="X2" s="658"/>
      <c r="Y2" s="658"/>
      <c r="Z2" s="658"/>
      <c r="AA2" s="658"/>
      <c r="AB2" s="658"/>
      <c r="AC2" s="658"/>
      <c r="AD2" s="658"/>
      <c r="AE2" s="658"/>
      <c r="AF2" s="658"/>
      <c r="AG2" s="658"/>
      <c r="AH2" s="658"/>
      <c r="AI2" s="658"/>
      <c r="AJ2" s="658"/>
      <c r="AK2" s="658"/>
      <c r="AL2" s="658"/>
      <c r="AM2" s="658"/>
      <c r="AN2" s="658"/>
      <c r="AO2" s="658"/>
      <c r="AP2" s="658"/>
      <c r="AQ2" s="658"/>
    </row>
    <row r="3" spans="1:72" s="305" customFormat="1" ht="6.75" customHeight="1" x14ac:dyDescent="0.35">
      <c r="A3" s="657" t="s">
        <v>112</v>
      </c>
      <c r="B3" s="657"/>
      <c r="C3" s="657"/>
      <c r="D3" s="657"/>
      <c r="E3" s="657"/>
      <c r="F3" s="659" t="str">
        <f>Introduction!D4</f>
        <v>DESIGN OF RCC RETAINING WALL (TOE WALL) FOR HEIGHT  
 UPTO 4m Height</v>
      </c>
      <c r="G3" s="659"/>
      <c r="H3" s="659"/>
      <c r="I3" s="659"/>
      <c r="J3" s="659"/>
      <c r="K3" s="659"/>
      <c r="L3" s="659"/>
      <c r="M3" s="659"/>
      <c r="N3" s="659"/>
      <c r="O3" s="659"/>
      <c r="P3" s="659"/>
      <c r="Q3" s="659"/>
      <c r="R3" s="659"/>
      <c r="S3" s="659"/>
      <c r="T3" s="659"/>
      <c r="U3" s="659"/>
      <c r="V3" s="659"/>
      <c r="W3" s="659"/>
      <c r="X3" s="659"/>
      <c r="Y3" s="659"/>
      <c r="Z3" s="659"/>
      <c r="AA3" s="659"/>
      <c r="AB3" s="659"/>
      <c r="AC3" s="659"/>
      <c r="AD3" s="659"/>
      <c r="AE3" s="659"/>
      <c r="AF3" s="659"/>
      <c r="AG3" s="659"/>
      <c r="AH3" s="659"/>
      <c r="AI3" s="659"/>
      <c r="AJ3" s="659"/>
      <c r="AK3" s="659"/>
      <c r="AL3" s="659"/>
      <c r="AM3" s="659"/>
      <c r="AN3" s="659"/>
      <c r="AO3" s="659"/>
      <c r="AP3" s="659"/>
      <c r="AQ3" s="659"/>
    </row>
    <row r="4" spans="1:72" s="305" customFormat="1" ht="10.5" customHeight="1" x14ac:dyDescent="0.35">
      <c r="A4" s="657"/>
      <c r="B4" s="657"/>
      <c r="C4" s="657"/>
      <c r="D4" s="657"/>
      <c r="E4" s="657"/>
      <c r="F4" s="659"/>
      <c r="G4" s="659"/>
      <c r="H4" s="659"/>
      <c r="I4" s="659"/>
      <c r="J4" s="659"/>
      <c r="K4" s="659"/>
      <c r="L4" s="659"/>
      <c r="M4" s="659"/>
      <c r="N4" s="659"/>
      <c r="O4" s="659"/>
      <c r="P4" s="659"/>
      <c r="Q4" s="659"/>
      <c r="R4" s="659"/>
      <c r="S4" s="659"/>
      <c r="T4" s="659"/>
      <c r="U4" s="659"/>
      <c r="V4" s="659"/>
      <c r="W4" s="659"/>
      <c r="X4" s="659"/>
      <c r="Y4" s="659"/>
      <c r="Z4" s="659"/>
      <c r="AA4" s="659"/>
      <c r="AB4" s="659"/>
      <c r="AC4" s="659"/>
      <c r="AD4" s="659"/>
      <c r="AE4" s="659"/>
      <c r="AF4" s="659"/>
      <c r="AG4" s="659"/>
      <c r="AH4" s="659"/>
      <c r="AI4" s="659"/>
      <c r="AJ4" s="659"/>
      <c r="AK4" s="659"/>
      <c r="AL4" s="659"/>
      <c r="AM4" s="659"/>
      <c r="AN4" s="659"/>
      <c r="AO4" s="659"/>
      <c r="AP4" s="659"/>
      <c r="AQ4" s="659"/>
    </row>
    <row r="5" spans="1:72" s="305" customFormat="1" ht="7.5" customHeight="1" x14ac:dyDescent="0.35">
      <c r="A5" s="299"/>
      <c r="B5" s="299"/>
    </row>
    <row r="6" spans="1:72" s="305" customFormat="1" ht="18.75" customHeight="1" x14ac:dyDescent="0.35">
      <c r="A6" s="329"/>
      <c r="B6" s="72">
        <v>1</v>
      </c>
      <c r="C6" s="358" t="s">
        <v>501</v>
      </c>
      <c r="D6" s="72"/>
      <c r="E6" s="328"/>
      <c r="F6" s="328"/>
      <c r="AI6" s="839" t="s">
        <v>166</v>
      </c>
    </row>
    <row r="7" spans="1:72" s="328" customFormat="1" ht="6" customHeight="1" x14ac:dyDescent="0.35">
      <c r="A7" s="329"/>
      <c r="B7" s="72"/>
      <c r="C7" s="358"/>
      <c r="D7" s="72"/>
      <c r="AD7" s="36"/>
      <c r="AE7" s="36"/>
      <c r="AF7" s="36"/>
      <c r="AG7" s="36"/>
      <c r="AH7" s="36"/>
      <c r="AI7" s="839"/>
      <c r="AK7" s="36"/>
      <c r="AL7" s="36"/>
      <c r="AM7" s="36"/>
      <c r="AN7" s="36"/>
      <c r="AO7" s="36"/>
    </row>
    <row r="8" spans="1:72" s="328" customFormat="1" ht="18.75" customHeight="1" x14ac:dyDescent="0.35">
      <c r="A8" s="329"/>
      <c r="B8" s="72"/>
      <c r="C8" s="363" t="s">
        <v>383</v>
      </c>
      <c r="D8" s="72"/>
      <c r="AD8" s="36"/>
      <c r="AE8" s="36"/>
      <c r="AF8" s="36"/>
      <c r="AG8" s="36"/>
      <c r="AH8" s="106"/>
      <c r="AI8" s="329"/>
      <c r="AJ8" s="42"/>
      <c r="AK8" s="36"/>
      <c r="AL8" s="36"/>
      <c r="AM8" s="36"/>
      <c r="AN8" s="36"/>
      <c r="AO8" s="36"/>
    </row>
    <row r="9" spans="1:72" x14ac:dyDescent="0.3">
      <c r="A9" s="42"/>
      <c r="B9" s="42"/>
      <c r="C9" s="66" t="s">
        <v>371</v>
      </c>
      <c r="D9" s="66"/>
      <c r="E9" s="66"/>
      <c r="F9" s="66"/>
      <c r="G9" s="66"/>
      <c r="H9" s="66"/>
      <c r="I9" s="66"/>
      <c r="J9" s="66"/>
      <c r="K9" s="66"/>
      <c r="L9" s="66"/>
      <c r="M9" s="66"/>
      <c r="N9" s="66"/>
      <c r="T9" s="66" t="s">
        <v>0</v>
      </c>
      <c r="U9" s="660">
        <f>U11+U14</f>
        <v>4</v>
      </c>
      <c r="V9" s="660"/>
      <c r="W9" s="660"/>
      <c r="X9" s="131" t="s">
        <v>1</v>
      </c>
      <c r="AH9" s="125"/>
      <c r="AI9" s="329"/>
      <c r="AJ9" s="42"/>
    </row>
    <row r="10" spans="1:72" s="418" customFormat="1" x14ac:dyDescent="0.3">
      <c r="A10" s="417"/>
      <c r="B10" s="417"/>
      <c r="C10" s="389" t="s">
        <v>435</v>
      </c>
      <c r="D10" s="389"/>
      <c r="E10" s="389"/>
      <c r="F10" s="389"/>
      <c r="G10" s="389"/>
      <c r="H10" s="389"/>
      <c r="I10" s="389"/>
      <c r="J10" s="389"/>
      <c r="K10" s="389"/>
      <c r="L10" s="389"/>
      <c r="M10" s="389"/>
      <c r="N10" s="389"/>
      <c r="T10" s="389" t="s">
        <v>0</v>
      </c>
      <c r="U10" s="660">
        <f>M102</f>
        <v>2.5</v>
      </c>
      <c r="V10" s="660"/>
      <c r="W10" s="660"/>
      <c r="X10" s="131" t="s">
        <v>1</v>
      </c>
      <c r="AH10" s="125"/>
      <c r="AI10" s="417"/>
      <c r="AJ10" s="417"/>
    </row>
    <row r="11" spans="1:72" x14ac:dyDescent="0.3">
      <c r="A11" s="42"/>
      <c r="B11" s="42"/>
      <c r="C11" s="68" t="s">
        <v>428</v>
      </c>
      <c r="D11" s="68"/>
      <c r="E11" s="68"/>
      <c r="F11" s="68"/>
      <c r="G11" s="68"/>
      <c r="H11" s="68"/>
      <c r="I11" s="68"/>
      <c r="J11" s="68"/>
      <c r="K11" s="66"/>
      <c r="T11" s="69" t="s">
        <v>0</v>
      </c>
      <c r="U11" s="876">
        <v>3.45</v>
      </c>
      <c r="V11" s="876"/>
      <c r="W11" s="876"/>
      <c r="X11" s="66" t="s">
        <v>1</v>
      </c>
      <c r="AH11" s="125"/>
      <c r="AI11" s="329"/>
      <c r="AJ11" s="42"/>
      <c r="AM11" s="130" t="s">
        <v>427</v>
      </c>
      <c r="AP11" s="130" t="s">
        <v>33</v>
      </c>
      <c r="AU11" s="106"/>
      <c r="AV11" s="128" t="s">
        <v>78</v>
      </c>
      <c r="AW11" s="128"/>
      <c r="AX11" s="128"/>
      <c r="AY11" s="128"/>
      <c r="AZ11" s="128"/>
      <c r="BA11" s="128"/>
      <c r="BB11" s="128"/>
      <c r="BC11" s="128"/>
      <c r="BD11" s="128"/>
      <c r="BE11" s="128"/>
      <c r="BF11" s="128"/>
      <c r="BG11" s="128"/>
      <c r="BH11" s="128"/>
      <c r="BI11" s="128"/>
      <c r="BJ11" s="128"/>
      <c r="BK11" s="128"/>
      <c r="BL11" s="128"/>
      <c r="BM11" s="128"/>
      <c r="BN11" s="128"/>
      <c r="BO11" s="128"/>
      <c r="BP11" s="107"/>
      <c r="BQ11" s="107"/>
      <c r="BR11" s="107"/>
      <c r="BS11" s="107"/>
      <c r="BT11" s="108"/>
    </row>
    <row r="12" spans="1:72" x14ac:dyDescent="0.3">
      <c r="A12" s="42"/>
      <c r="B12" s="42"/>
      <c r="C12" s="86" t="s">
        <v>160</v>
      </c>
      <c r="D12" s="66"/>
      <c r="E12" s="66"/>
      <c r="F12" s="66"/>
      <c r="G12" s="66"/>
      <c r="H12" s="66"/>
      <c r="I12" s="66"/>
      <c r="J12" s="66"/>
      <c r="K12" s="66"/>
      <c r="L12" s="66"/>
      <c r="M12" s="66"/>
      <c r="N12" s="66"/>
      <c r="Q12" s="86"/>
      <c r="R12" s="86"/>
      <c r="S12" s="86"/>
      <c r="T12" s="36" t="s">
        <v>0</v>
      </c>
      <c r="U12" s="682">
        <v>4</v>
      </c>
      <c r="V12" s="682"/>
      <c r="W12" s="682"/>
      <c r="X12" s="36" t="s">
        <v>1</v>
      </c>
      <c r="AH12" s="125"/>
      <c r="AI12" s="329"/>
      <c r="AJ12" s="42"/>
      <c r="AU12" s="126"/>
      <c r="AV12" s="87"/>
      <c r="AW12" s="87"/>
      <c r="AX12" s="87"/>
      <c r="AY12" s="87"/>
      <c r="AZ12" s="87"/>
      <c r="BA12" s="87"/>
      <c r="BB12" s="87"/>
      <c r="BC12" s="87"/>
      <c r="BD12" s="87"/>
      <c r="BE12" s="87"/>
      <c r="BF12" s="87"/>
      <c r="BG12" s="87"/>
      <c r="BH12" s="87"/>
      <c r="BI12" s="87"/>
      <c r="BJ12" s="87"/>
      <c r="BK12" s="87"/>
      <c r="BL12" s="674">
        <f>0.4*U11</f>
        <v>1.3800000000000001</v>
      </c>
      <c r="BM12" s="674"/>
      <c r="BN12" s="674"/>
      <c r="BO12" s="87" t="s">
        <v>161</v>
      </c>
      <c r="BP12" s="87"/>
      <c r="BQ12" s="672">
        <f>0.7*U11</f>
        <v>2.415</v>
      </c>
      <c r="BR12" s="672"/>
      <c r="BS12" s="672"/>
      <c r="BT12" s="673"/>
    </row>
    <row r="13" spans="1:72" ht="17" x14ac:dyDescent="0.45">
      <c r="A13" s="42"/>
      <c r="B13" s="42"/>
      <c r="C13" s="66" t="s">
        <v>162</v>
      </c>
      <c r="D13" s="66"/>
      <c r="E13" s="66"/>
      <c r="F13" s="66"/>
      <c r="G13" s="66"/>
      <c r="H13" s="66"/>
      <c r="I13" s="66"/>
      <c r="J13" s="66"/>
      <c r="K13" s="66"/>
      <c r="L13" s="66"/>
      <c r="M13" s="66"/>
      <c r="N13" s="66"/>
      <c r="T13" s="36" t="s">
        <v>0</v>
      </c>
      <c r="U13" s="682">
        <v>0.7</v>
      </c>
      <c r="V13" s="682"/>
      <c r="W13" s="682"/>
      <c r="X13" s="36" t="s">
        <v>1</v>
      </c>
      <c r="AH13" s="125"/>
      <c r="AI13" s="329"/>
      <c r="AJ13" s="42"/>
      <c r="AU13" s="106"/>
      <c r="AV13" s="128" t="s">
        <v>31</v>
      </c>
      <c r="AW13" s="128"/>
      <c r="AX13" s="128"/>
      <c r="AY13" s="128"/>
      <c r="AZ13" s="128"/>
      <c r="BA13" s="128"/>
      <c r="BB13" s="128"/>
      <c r="BC13" s="107"/>
      <c r="BD13" s="107" t="s">
        <v>0</v>
      </c>
      <c r="BE13" s="729" t="s">
        <v>36</v>
      </c>
      <c r="BF13" s="729"/>
      <c r="BG13" s="107"/>
      <c r="BH13" s="107"/>
      <c r="BI13" s="107"/>
      <c r="BJ13" s="670"/>
      <c r="BK13" s="670"/>
      <c r="BL13" s="670"/>
      <c r="BM13" s="108"/>
    </row>
    <row r="14" spans="1:72" ht="17" x14ac:dyDescent="0.3">
      <c r="A14" s="42"/>
      <c r="B14" s="42"/>
      <c r="C14" s="66" t="s">
        <v>437</v>
      </c>
      <c r="D14" s="66"/>
      <c r="E14" s="66"/>
      <c r="F14" s="66"/>
      <c r="G14" s="66"/>
      <c r="H14" s="66"/>
      <c r="I14" s="66"/>
      <c r="J14" s="66"/>
      <c r="K14" s="66"/>
      <c r="L14" s="66"/>
      <c r="M14" s="66"/>
      <c r="N14" s="66"/>
      <c r="T14" s="36" t="s">
        <v>0</v>
      </c>
      <c r="U14" s="682">
        <v>0.55000000000000004</v>
      </c>
      <c r="V14" s="682"/>
      <c r="W14" s="682"/>
      <c r="X14" s="86" t="s">
        <v>1</v>
      </c>
      <c r="AE14" s="42"/>
      <c r="AF14" s="129" t="s">
        <v>163</v>
      </c>
      <c r="AG14" s="42"/>
      <c r="AH14" s="125"/>
      <c r="AI14" s="329"/>
      <c r="AJ14" s="42"/>
      <c r="AK14" s="129" t="s">
        <v>164</v>
      </c>
      <c r="AL14" s="42"/>
      <c r="AM14" s="42"/>
      <c r="AU14" s="125"/>
      <c r="AV14" s="42"/>
      <c r="AW14" s="42"/>
      <c r="AX14" s="42"/>
      <c r="AY14" s="42"/>
      <c r="AZ14" s="42"/>
      <c r="BA14" s="42"/>
      <c r="BB14" s="42"/>
      <c r="BC14" s="42"/>
      <c r="BD14" s="42"/>
      <c r="BE14" s="670">
        <v>3</v>
      </c>
      <c r="BF14" s="670"/>
      <c r="BG14" s="42"/>
      <c r="BH14" s="42"/>
      <c r="BI14" s="42"/>
      <c r="BJ14" s="42"/>
      <c r="BK14" s="42"/>
      <c r="BL14" s="42"/>
      <c r="BM14" s="124"/>
    </row>
    <row r="15" spans="1:72" ht="17" x14ac:dyDescent="0.45">
      <c r="A15" s="42"/>
      <c r="B15" s="42"/>
      <c r="C15" s="389" t="s">
        <v>506</v>
      </c>
      <c r="D15" s="389"/>
      <c r="E15" s="389"/>
      <c r="F15" s="389"/>
      <c r="G15" s="389"/>
      <c r="H15" s="389"/>
      <c r="I15" s="389"/>
      <c r="J15" s="389"/>
      <c r="K15" s="389"/>
      <c r="L15" s="389"/>
      <c r="M15" s="389"/>
      <c r="N15" s="389"/>
      <c r="O15" s="477"/>
      <c r="P15" s="477"/>
      <c r="Q15" s="477"/>
      <c r="R15" s="477"/>
      <c r="S15" s="477"/>
      <c r="T15" s="477" t="s">
        <v>0</v>
      </c>
      <c r="U15" s="682">
        <v>0.4</v>
      </c>
      <c r="V15" s="682"/>
      <c r="W15" s="682"/>
      <c r="X15" s="86" t="s">
        <v>1</v>
      </c>
      <c r="AC15" s="130" t="s">
        <v>505</v>
      </c>
      <c r="AE15" s="42"/>
      <c r="AF15" s="42"/>
      <c r="AG15" s="42"/>
      <c r="AH15" s="704" t="s">
        <v>168</v>
      </c>
      <c r="AI15" s="704"/>
      <c r="AJ15" s="42"/>
      <c r="AK15" s="42"/>
      <c r="AL15" s="42"/>
      <c r="AM15" s="42"/>
      <c r="AN15" s="42"/>
      <c r="AO15" s="130" t="s">
        <v>438</v>
      </c>
      <c r="AT15" s="106"/>
      <c r="AU15" s="107"/>
      <c r="AV15" s="128" t="s">
        <v>32</v>
      </c>
      <c r="AW15" s="128"/>
      <c r="AX15" s="128"/>
      <c r="AY15" s="128"/>
      <c r="AZ15" s="128"/>
      <c r="BA15" s="128"/>
      <c r="BB15" s="128"/>
      <c r="BC15" s="107"/>
      <c r="BD15" s="107" t="s">
        <v>0</v>
      </c>
      <c r="BE15" s="729">
        <v>1</v>
      </c>
      <c r="BF15" s="729"/>
      <c r="BG15" s="670" t="s">
        <v>21</v>
      </c>
      <c r="BH15" s="670" t="s">
        <v>33</v>
      </c>
      <c r="BI15" s="107"/>
      <c r="BJ15" s="107" t="s">
        <v>67</v>
      </c>
      <c r="BK15" s="107"/>
      <c r="BL15" s="107"/>
      <c r="BM15" s="107"/>
      <c r="BN15" s="729">
        <v>1</v>
      </c>
      <c r="BO15" s="729"/>
      <c r="BP15" s="670" t="s">
        <v>21</v>
      </c>
      <c r="BQ15" s="670" t="s">
        <v>33</v>
      </c>
      <c r="BR15" s="107"/>
      <c r="BS15" s="107"/>
      <c r="BT15" s="108"/>
    </row>
    <row r="16" spans="1:72" ht="17" x14ac:dyDescent="0.3">
      <c r="A16" s="42"/>
      <c r="B16" s="42"/>
      <c r="C16" s="86" t="s">
        <v>165</v>
      </c>
      <c r="D16" s="66"/>
      <c r="E16" s="66"/>
      <c r="F16" s="66"/>
      <c r="G16" s="66"/>
      <c r="H16" s="66"/>
      <c r="I16" s="66"/>
      <c r="J16" s="66"/>
      <c r="K16" s="66"/>
      <c r="T16" s="36" t="s">
        <v>0</v>
      </c>
      <c r="U16" s="682">
        <v>0.3</v>
      </c>
      <c r="V16" s="682"/>
      <c r="W16" s="682"/>
      <c r="X16" s="36" t="s">
        <v>1</v>
      </c>
      <c r="AH16" s="899" t="s">
        <v>36</v>
      </c>
      <c r="AI16" s="899"/>
      <c r="AT16" s="125"/>
      <c r="AU16" s="42"/>
      <c r="AV16" s="42"/>
      <c r="AW16" s="42"/>
      <c r="AX16" s="42"/>
      <c r="AY16" s="42"/>
      <c r="AZ16" s="42"/>
      <c r="BA16" s="42"/>
      <c r="BB16" s="42"/>
      <c r="BC16" s="42"/>
      <c r="BD16" s="42"/>
      <c r="BE16" s="704">
        <v>12</v>
      </c>
      <c r="BF16" s="704"/>
      <c r="BG16" s="704"/>
      <c r="BH16" s="704"/>
      <c r="BI16" s="42"/>
      <c r="BJ16" s="42"/>
      <c r="BK16" s="42"/>
      <c r="BL16" s="42"/>
      <c r="BM16" s="42"/>
      <c r="BN16" s="704">
        <v>10</v>
      </c>
      <c r="BO16" s="704"/>
      <c r="BP16" s="704"/>
      <c r="BQ16" s="704"/>
      <c r="BR16" s="42"/>
      <c r="BS16" s="42"/>
      <c r="BT16" s="124"/>
    </row>
    <row r="17" spans="1:72" ht="17" x14ac:dyDescent="0.35">
      <c r="A17" s="42"/>
      <c r="B17" s="42"/>
      <c r="C17" s="86" t="s">
        <v>167</v>
      </c>
      <c r="D17" s="329"/>
      <c r="T17" s="36" t="s">
        <v>0</v>
      </c>
      <c r="U17" s="682">
        <v>0.5</v>
      </c>
      <c r="V17" s="682"/>
      <c r="W17" s="682"/>
      <c r="X17" s="36" t="s">
        <v>1</v>
      </c>
      <c r="AF17" s="342" t="s">
        <v>397</v>
      </c>
      <c r="AT17" s="126"/>
      <c r="AU17" s="87"/>
      <c r="AV17" s="87"/>
      <c r="AW17" s="87"/>
      <c r="AX17" s="87"/>
      <c r="AY17" s="87"/>
      <c r="AZ17" s="87"/>
      <c r="BA17" s="87"/>
      <c r="BB17" s="87"/>
      <c r="BC17" s="87"/>
      <c r="BD17" s="87" t="s">
        <v>0</v>
      </c>
      <c r="BE17" s="674">
        <f>U11/12</f>
        <v>0.28750000000000003</v>
      </c>
      <c r="BF17" s="674"/>
      <c r="BG17" s="674"/>
      <c r="BH17" s="674"/>
      <c r="BI17" s="87" t="s">
        <v>161</v>
      </c>
      <c r="BJ17" s="87"/>
      <c r="BK17" s="87"/>
      <c r="BL17" s="672">
        <f>U11/10</f>
        <v>0.34500000000000003</v>
      </c>
      <c r="BM17" s="672"/>
      <c r="BN17" s="672"/>
      <c r="BO17" s="672"/>
      <c r="BP17" s="87"/>
      <c r="BQ17" s="87"/>
      <c r="BR17" s="87"/>
      <c r="BS17" s="87"/>
      <c r="BT17" s="127"/>
    </row>
    <row r="18" spans="1:72" x14ac:dyDescent="0.3">
      <c r="A18" s="42"/>
      <c r="B18" s="42"/>
      <c r="C18" s="329"/>
      <c r="D18" s="329"/>
      <c r="AA18" s="66"/>
    </row>
    <row r="19" spans="1:72" ht="15" customHeight="1" x14ac:dyDescent="0.3">
      <c r="A19" s="42"/>
      <c r="B19" s="42"/>
      <c r="C19" s="360" t="s">
        <v>379</v>
      </c>
      <c r="D19" s="66"/>
      <c r="E19" s="66"/>
      <c r="F19" s="42"/>
      <c r="H19" s="359"/>
      <c r="I19" s="359"/>
      <c r="J19" s="359"/>
      <c r="K19" s="359"/>
      <c r="L19" s="359"/>
      <c r="M19" s="359"/>
      <c r="N19" s="359"/>
      <c r="O19" s="359"/>
      <c r="P19" s="359"/>
      <c r="Q19" s="359"/>
      <c r="R19" s="359"/>
      <c r="S19" s="359"/>
      <c r="U19" s="408"/>
      <c r="V19" s="408"/>
      <c r="W19" s="408"/>
      <c r="Y19" s="74"/>
      <c r="Z19" s="74"/>
      <c r="AA19" s="74"/>
      <c r="AB19" s="74"/>
    </row>
    <row r="20" spans="1:72" ht="6.75" customHeight="1" x14ac:dyDescent="0.3">
      <c r="A20" s="42"/>
      <c r="B20" s="42"/>
      <c r="C20" s="66"/>
      <c r="D20" s="66"/>
      <c r="E20" s="66"/>
      <c r="F20" s="66"/>
      <c r="G20" s="66"/>
      <c r="H20" s="66"/>
      <c r="I20" s="66"/>
      <c r="J20" s="66"/>
      <c r="K20" s="66"/>
      <c r="L20" s="66"/>
      <c r="M20" s="66"/>
      <c r="N20" s="66"/>
      <c r="T20" s="66"/>
      <c r="U20" s="67"/>
      <c r="V20" s="67"/>
      <c r="W20" s="67"/>
      <c r="X20" s="67"/>
    </row>
    <row r="21" spans="1:72" ht="15" hidden="1" customHeight="1" x14ac:dyDescent="0.3">
      <c r="A21" s="42"/>
      <c r="B21" s="42"/>
      <c r="C21" s="66" t="s">
        <v>169</v>
      </c>
      <c r="D21" s="66"/>
      <c r="E21" s="66"/>
      <c r="F21" s="66"/>
      <c r="G21" s="66"/>
      <c r="H21" s="66"/>
      <c r="I21" s="66"/>
      <c r="J21" s="66"/>
      <c r="K21" s="66"/>
      <c r="L21" s="66"/>
      <c r="M21" s="66"/>
      <c r="N21" s="66"/>
      <c r="T21" s="66"/>
      <c r="U21" s="67"/>
      <c r="V21" s="67"/>
      <c r="W21" s="67"/>
      <c r="X21" s="67"/>
    </row>
    <row r="22" spans="1:72" ht="3" hidden="1" customHeight="1" x14ac:dyDescent="0.3">
      <c r="A22" s="42"/>
      <c r="B22" s="42"/>
      <c r="C22" s="66"/>
      <c r="D22" s="66"/>
      <c r="E22" s="66"/>
      <c r="F22" s="66"/>
      <c r="G22" s="66"/>
      <c r="H22" s="66"/>
      <c r="I22" s="66"/>
      <c r="J22" s="66"/>
      <c r="K22" s="66"/>
      <c r="L22" s="66"/>
      <c r="M22" s="66"/>
      <c r="N22" s="66"/>
      <c r="T22" s="66"/>
      <c r="U22" s="67"/>
      <c r="V22" s="67"/>
      <c r="W22" s="67"/>
      <c r="X22" s="67"/>
    </row>
    <row r="23" spans="1:72" ht="15" hidden="1" customHeight="1" x14ac:dyDescent="0.35">
      <c r="A23" s="42"/>
      <c r="B23" s="42"/>
      <c r="C23" s="66" t="s">
        <v>170</v>
      </c>
      <c r="D23" s="66"/>
      <c r="E23" s="66"/>
      <c r="F23" s="66"/>
      <c r="G23" s="66"/>
      <c r="H23" s="66"/>
      <c r="I23" s="66"/>
      <c r="J23" s="66"/>
      <c r="K23" s="66"/>
      <c r="L23" s="66"/>
      <c r="M23" s="66"/>
      <c r="N23" s="66"/>
      <c r="T23" s="66" t="s">
        <v>0</v>
      </c>
      <c r="U23" s="889">
        <f>U36</f>
        <v>30</v>
      </c>
      <c r="V23" s="889"/>
      <c r="W23" s="889"/>
      <c r="X23" s="131" t="s">
        <v>172</v>
      </c>
    </row>
    <row r="24" spans="1:72" s="452" customFormat="1" hidden="1" x14ac:dyDescent="0.3">
      <c r="A24" s="453"/>
      <c r="B24" s="453"/>
      <c r="C24" s="389"/>
      <c r="D24" s="389"/>
      <c r="E24" s="389"/>
      <c r="F24" s="389"/>
      <c r="G24" s="389"/>
      <c r="H24" s="389"/>
      <c r="I24" s="389"/>
      <c r="J24" s="389"/>
      <c r="K24" s="389"/>
      <c r="L24" s="389"/>
      <c r="M24" s="389"/>
      <c r="N24" s="389"/>
      <c r="Q24" s="456" t="s">
        <v>478</v>
      </c>
      <c r="T24" s="389" t="s">
        <v>0</v>
      </c>
      <c r="U24" s="890">
        <f>COS(RADIANS(U23))</f>
        <v>0.86602540378443871</v>
      </c>
      <c r="V24" s="890"/>
      <c r="W24" s="890"/>
      <c r="X24" s="131" t="s">
        <v>477</v>
      </c>
    </row>
    <row r="25" spans="1:72" ht="14.5" hidden="1" x14ac:dyDescent="0.35">
      <c r="A25" s="42"/>
      <c r="B25" s="42"/>
      <c r="C25" s="66" t="s">
        <v>171</v>
      </c>
      <c r="D25" s="66"/>
      <c r="E25" s="66"/>
      <c r="F25" s="66"/>
      <c r="G25" s="66"/>
      <c r="H25" s="66"/>
      <c r="I25" s="66"/>
      <c r="J25" s="66"/>
      <c r="K25" s="66"/>
      <c r="L25" s="66"/>
      <c r="M25" s="66"/>
      <c r="N25" s="66"/>
      <c r="T25" s="66" t="s">
        <v>0</v>
      </c>
      <c r="U25" s="889">
        <f>U38</f>
        <v>0</v>
      </c>
      <c r="V25" s="889"/>
      <c r="W25" s="889"/>
      <c r="X25" s="131" t="s">
        <v>172</v>
      </c>
      <c r="AA25" s="158" t="s">
        <v>479</v>
      </c>
    </row>
    <row r="26" spans="1:72" s="452" customFormat="1" hidden="1" x14ac:dyDescent="0.3">
      <c r="A26" s="453"/>
      <c r="B26" s="453"/>
      <c r="C26" s="389"/>
      <c r="D26" s="389"/>
      <c r="E26" s="389"/>
      <c r="F26" s="389"/>
      <c r="G26" s="389"/>
      <c r="H26" s="389"/>
      <c r="I26" s="389"/>
      <c r="J26" s="389"/>
      <c r="K26" s="389"/>
      <c r="L26" s="389"/>
      <c r="M26" s="389"/>
      <c r="N26" s="389"/>
      <c r="Q26" s="456" t="s">
        <v>476</v>
      </c>
      <c r="T26" s="389" t="s">
        <v>0</v>
      </c>
      <c r="U26" s="890">
        <f>COS(RADIANS(U25))</f>
        <v>1</v>
      </c>
      <c r="V26" s="890"/>
      <c r="W26" s="890"/>
      <c r="X26" s="131" t="s">
        <v>477</v>
      </c>
    </row>
    <row r="27" spans="1:72" s="452" customFormat="1" x14ac:dyDescent="0.3">
      <c r="A27" s="453"/>
      <c r="B27" s="453"/>
      <c r="C27" s="389"/>
      <c r="D27" s="389"/>
      <c r="E27" s="389"/>
      <c r="F27" s="389"/>
      <c r="G27" s="389"/>
      <c r="H27" s="389"/>
      <c r="I27" s="389"/>
      <c r="J27" s="389"/>
      <c r="K27" s="389"/>
      <c r="L27" s="389"/>
      <c r="M27" s="389"/>
      <c r="N27" s="389"/>
      <c r="T27" s="389"/>
      <c r="U27" s="454"/>
      <c r="V27" s="454"/>
      <c r="W27" s="131"/>
      <c r="X27" s="455"/>
      <c r="AV27" s="827" t="s">
        <v>362</v>
      </c>
      <c r="AW27" s="828"/>
      <c r="AX27" s="828"/>
      <c r="AY27" s="828"/>
      <c r="AZ27" s="828"/>
      <c r="BA27" s="828"/>
      <c r="BB27" s="828"/>
      <c r="BC27" s="828"/>
      <c r="BD27" s="829"/>
      <c r="BE27" s="853" t="s">
        <v>367</v>
      </c>
      <c r="BF27" s="854"/>
      <c r="BG27" s="854"/>
      <c r="BH27" s="854"/>
      <c r="BI27" s="854"/>
      <c r="BJ27" s="854"/>
      <c r="BK27" s="854"/>
      <c r="BL27" s="855"/>
      <c r="BM27" s="853" t="s">
        <v>368</v>
      </c>
      <c r="BN27" s="854"/>
      <c r="BO27" s="854"/>
      <c r="BP27" s="854"/>
      <c r="BQ27" s="854"/>
      <c r="BR27" s="854"/>
      <c r="BS27" s="854"/>
      <c r="BT27" s="855"/>
    </row>
    <row r="28" spans="1:72" s="512" customFormat="1" ht="15.5" x14ac:dyDescent="0.4">
      <c r="A28" s="511"/>
      <c r="B28" s="511"/>
      <c r="C28" s="389" t="s">
        <v>529</v>
      </c>
      <c r="D28" s="389"/>
      <c r="E28" s="389"/>
      <c r="F28" s="389"/>
      <c r="G28" s="389"/>
      <c r="H28" s="389"/>
      <c r="I28" s="389"/>
      <c r="J28" s="389"/>
      <c r="K28" s="389"/>
      <c r="L28" s="389"/>
      <c r="M28" s="389"/>
      <c r="N28" s="389"/>
      <c r="T28" s="389" t="s">
        <v>0</v>
      </c>
      <c r="U28" s="514"/>
      <c r="V28" s="514"/>
      <c r="W28" s="131"/>
      <c r="X28" s="513"/>
      <c r="AV28" s="757"/>
      <c r="AW28" s="758"/>
      <c r="AX28" s="758"/>
      <c r="AY28" s="758"/>
      <c r="AZ28" s="758"/>
      <c r="BA28" s="758"/>
      <c r="BB28" s="758"/>
      <c r="BC28" s="758"/>
      <c r="BD28" s="759"/>
      <c r="BE28" s="856"/>
      <c r="BF28" s="857"/>
      <c r="BG28" s="857"/>
      <c r="BH28" s="857"/>
      <c r="BI28" s="857"/>
      <c r="BJ28" s="857"/>
      <c r="BK28" s="857"/>
      <c r="BL28" s="858"/>
      <c r="BM28" s="856"/>
      <c r="BN28" s="857"/>
      <c r="BO28" s="857"/>
      <c r="BP28" s="857"/>
      <c r="BQ28" s="857"/>
      <c r="BR28" s="857"/>
      <c r="BS28" s="857"/>
      <c r="BT28" s="858"/>
    </row>
    <row r="29" spans="1:72" s="512" customFormat="1" x14ac:dyDescent="0.3">
      <c r="A29" s="511"/>
      <c r="B29" s="511"/>
      <c r="C29" s="389"/>
      <c r="D29" s="389"/>
      <c r="E29" s="389"/>
      <c r="F29" s="389"/>
      <c r="G29" s="389"/>
      <c r="H29" s="389"/>
      <c r="I29" s="389"/>
      <c r="J29" s="389"/>
      <c r="K29" s="389"/>
      <c r="L29" s="389"/>
      <c r="M29" s="389"/>
      <c r="N29" s="389"/>
      <c r="T29" s="389"/>
      <c r="U29" s="514"/>
      <c r="V29" s="514"/>
      <c r="W29" s="131"/>
      <c r="X29" s="513"/>
      <c r="AV29" s="544" t="s">
        <v>352</v>
      </c>
      <c r="AW29" s="545"/>
      <c r="AX29" s="545"/>
      <c r="AY29" s="545"/>
      <c r="AZ29" s="545"/>
      <c r="BA29" s="545"/>
      <c r="BB29" s="545"/>
      <c r="BC29" s="545"/>
      <c r="BD29" s="546"/>
      <c r="BE29" s="666"/>
      <c r="BF29" s="666"/>
      <c r="BG29" s="666"/>
      <c r="BH29" s="900" t="str">
        <f>AB184</f>
        <v>Safe</v>
      </c>
      <c r="BI29" s="900"/>
      <c r="BJ29" s="900"/>
      <c r="BK29" s="900"/>
      <c r="BL29" s="900"/>
      <c r="BM29" s="666"/>
      <c r="BN29" s="666"/>
      <c r="BO29" s="666"/>
      <c r="BP29" s="900" t="str">
        <f>AJ184</f>
        <v>Safe</v>
      </c>
      <c r="BQ29" s="900"/>
      <c r="BR29" s="900"/>
      <c r="BS29" s="900"/>
      <c r="BT29" s="900"/>
    </row>
    <row r="30" spans="1:72" s="512" customFormat="1" x14ac:dyDescent="0.3">
      <c r="A30" s="511"/>
      <c r="B30" s="511"/>
      <c r="C30" s="389"/>
      <c r="D30" s="389"/>
      <c r="E30" s="389"/>
      <c r="F30" s="389"/>
      <c r="G30" s="389"/>
      <c r="H30" s="389"/>
      <c r="I30" s="389"/>
      <c r="J30" s="389"/>
      <c r="K30" s="389"/>
      <c r="L30" s="389"/>
      <c r="M30" s="389"/>
      <c r="N30" s="389"/>
      <c r="T30" s="389"/>
      <c r="U30" s="514"/>
      <c r="V30" s="514"/>
      <c r="W30" s="131"/>
      <c r="X30" s="513"/>
      <c r="AV30" s="544" t="s">
        <v>353</v>
      </c>
      <c r="AW30" s="545"/>
      <c r="AX30" s="545"/>
      <c r="AY30" s="545"/>
      <c r="AZ30" s="545"/>
      <c r="BA30" s="545"/>
      <c r="BB30" s="545"/>
      <c r="BC30" s="545"/>
      <c r="BD30" s="546"/>
      <c r="BE30" s="805"/>
      <c r="BF30" s="689"/>
      <c r="BG30" s="804"/>
      <c r="BH30" s="900" t="str">
        <f t="shared" ref="BH30:BH31" si="0">AB185</f>
        <v>Safe</v>
      </c>
      <c r="BI30" s="900"/>
      <c r="BJ30" s="900"/>
      <c r="BK30" s="900"/>
      <c r="BL30" s="900"/>
      <c r="BM30" s="805"/>
      <c r="BN30" s="689"/>
      <c r="BO30" s="804"/>
      <c r="BP30" s="900" t="str">
        <f t="shared" ref="BP30:BP31" si="1">AJ185</f>
        <v>Safe</v>
      </c>
      <c r="BQ30" s="900"/>
      <c r="BR30" s="900"/>
      <c r="BS30" s="900"/>
      <c r="BT30" s="900"/>
    </row>
    <row r="31" spans="1:72" s="512" customFormat="1" x14ac:dyDescent="0.3">
      <c r="A31" s="511"/>
      <c r="B31" s="511"/>
      <c r="C31" s="516"/>
      <c r="D31" s="517"/>
      <c r="I31" s="516"/>
      <c r="J31" s="516"/>
      <c r="K31" s="516"/>
      <c r="L31" s="516"/>
      <c r="M31" s="389"/>
      <c r="N31" s="389"/>
      <c r="O31" s="519"/>
      <c r="P31" s="519"/>
      <c r="Q31" s="519"/>
      <c r="T31" s="518" t="s">
        <v>0</v>
      </c>
      <c r="U31" s="686">
        <f>(COS(AS36-AS39))^2/((COS(AS39))^2*COS(AS39+AS37)*(1+SQRT(((ROUND(SIN(AS36+AS37)*SIN(AS36-AS38)/(COS(AS39+AS37)*COS(AS39-AS38)),3)))))^2)</f>
        <v>0.29720128704771903</v>
      </c>
      <c r="V31" s="686"/>
      <c r="W31" s="686"/>
      <c r="X31" s="513"/>
      <c r="AV31" s="544" t="s">
        <v>354</v>
      </c>
      <c r="AW31" s="545"/>
      <c r="AX31" s="545"/>
      <c r="AY31" s="545"/>
      <c r="AZ31" s="545"/>
      <c r="BA31" s="545"/>
      <c r="BB31" s="545"/>
      <c r="BC31" s="545"/>
      <c r="BD31" s="546"/>
      <c r="BE31" s="805"/>
      <c r="BF31" s="689"/>
      <c r="BG31" s="804"/>
      <c r="BH31" s="900" t="str">
        <f t="shared" si="0"/>
        <v>Safe</v>
      </c>
      <c r="BI31" s="900"/>
      <c r="BJ31" s="900"/>
      <c r="BK31" s="900"/>
      <c r="BL31" s="900"/>
      <c r="BM31" s="805"/>
      <c r="BN31" s="689"/>
      <c r="BO31" s="804"/>
      <c r="BP31" s="900" t="str">
        <f t="shared" si="1"/>
        <v>Safe</v>
      </c>
      <c r="BQ31" s="900"/>
      <c r="BR31" s="900"/>
      <c r="BS31" s="900"/>
      <c r="BT31" s="900"/>
    </row>
    <row r="32" spans="1:72" s="512" customFormat="1" ht="14.5" x14ac:dyDescent="0.35">
      <c r="A32" s="511"/>
      <c r="B32" s="511"/>
      <c r="C32" s="389" t="s">
        <v>530</v>
      </c>
      <c r="D32" s="389"/>
      <c r="E32" s="389"/>
      <c r="F32" s="389"/>
      <c r="G32" s="389"/>
      <c r="H32" s="389"/>
      <c r="I32" s="389"/>
      <c r="J32" s="389"/>
      <c r="L32" s="389" t="s">
        <v>531</v>
      </c>
      <c r="M32" s="389"/>
      <c r="N32" s="389"/>
      <c r="O32" s="389"/>
      <c r="P32" s="389"/>
      <c r="Q32" s="389"/>
      <c r="R32" s="389"/>
      <c r="S32" s="389"/>
      <c r="T32" s="389" t="s">
        <v>0</v>
      </c>
      <c r="U32" s="894">
        <f>U31*COS(AS37+AS39)</f>
        <v>0.27927785632681618</v>
      </c>
      <c r="V32" s="894"/>
      <c r="W32" s="894"/>
      <c r="X32" s="513"/>
      <c r="AD32" s="86"/>
      <c r="AE32" s="86"/>
      <c r="AF32" s="86"/>
      <c r="AG32" s="86"/>
    </row>
    <row r="33" spans="1:49" s="512" customFormat="1" ht="14.5" x14ac:dyDescent="0.35">
      <c r="A33" s="511"/>
      <c r="B33" s="511"/>
      <c r="C33" s="389" t="s">
        <v>532</v>
      </c>
      <c r="D33" s="389"/>
      <c r="E33" s="389"/>
      <c r="F33" s="389"/>
      <c r="G33" s="389"/>
      <c r="H33" s="389"/>
      <c r="I33" s="389"/>
      <c r="J33" s="389"/>
      <c r="L33" s="389" t="s">
        <v>533</v>
      </c>
      <c r="M33" s="389"/>
      <c r="N33" s="389"/>
      <c r="O33" s="389"/>
      <c r="P33" s="389"/>
      <c r="Q33" s="389"/>
      <c r="R33" s="389"/>
      <c r="S33" s="389"/>
      <c r="T33" s="389" t="s">
        <v>0</v>
      </c>
      <c r="U33" s="894">
        <f>U31*SIN(AS37+AS39)</f>
        <v>0.10164882679263407</v>
      </c>
      <c r="V33" s="894"/>
      <c r="W33" s="894"/>
      <c r="Y33" s="516"/>
      <c r="Z33" s="516"/>
    </row>
    <row r="34" spans="1:49" s="512" customFormat="1" x14ac:dyDescent="0.3">
      <c r="A34" s="511"/>
      <c r="B34" s="511"/>
      <c r="C34" s="516"/>
      <c r="D34" s="517"/>
      <c r="E34" s="516"/>
      <c r="F34" s="516"/>
      <c r="G34" s="516"/>
      <c r="H34" s="516"/>
      <c r="I34" s="516"/>
      <c r="J34" s="516"/>
      <c r="K34" s="516"/>
      <c r="L34" s="516"/>
      <c r="M34" s="389"/>
      <c r="N34" s="389"/>
      <c r="T34" s="389"/>
      <c r="U34" s="514"/>
      <c r="V34" s="514"/>
      <c r="Z34" s="516"/>
    </row>
    <row r="35" spans="1:49" s="512" customFormat="1" x14ac:dyDescent="0.3">
      <c r="A35" s="511"/>
      <c r="B35" s="511"/>
      <c r="C35" s="389" t="s">
        <v>55</v>
      </c>
      <c r="D35" s="517"/>
      <c r="E35" s="516"/>
      <c r="F35" s="516"/>
      <c r="G35" s="516"/>
      <c r="H35" s="516"/>
      <c r="I35" s="516"/>
      <c r="J35" s="516"/>
      <c r="L35" s="516"/>
      <c r="M35" s="389"/>
      <c r="N35" s="389"/>
      <c r="T35" s="389"/>
      <c r="U35" s="514"/>
      <c r="V35" s="514"/>
      <c r="Z35" s="516"/>
      <c r="AT35" s="518" t="s">
        <v>534</v>
      </c>
    </row>
    <row r="36" spans="1:49" s="512" customFormat="1" x14ac:dyDescent="0.3">
      <c r="A36" s="511"/>
      <c r="B36" s="511"/>
      <c r="C36" s="389" t="s">
        <v>535</v>
      </c>
      <c r="D36" s="516"/>
      <c r="J36" s="516"/>
      <c r="L36" s="521"/>
      <c r="M36" s="389"/>
      <c r="N36" s="389"/>
      <c r="T36" s="518" t="s">
        <v>0</v>
      </c>
      <c r="U36" s="891">
        <v>30</v>
      </c>
      <c r="V36" s="891"/>
      <c r="W36" s="891"/>
      <c r="X36" s="520" t="s">
        <v>536</v>
      </c>
      <c r="AS36" s="893">
        <f>U36*PI()/180</f>
        <v>0.52359877559829882</v>
      </c>
      <c r="AT36" s="893"/>
      <c r="AU36" s="893"/>
      <c r="AV36" s="893"/>
    </row>
    <row r="37" spans="1:49" s="512" customFormat="1" x14ac:dyDescent="0.3">
      <c r="A37" s="511"/>
      <c r="B37" s="511"/>
      <c r="C37" s="389" t="s">
        <v>537</v>
      </c>
      <c r="D37" s="516"/>
      <c r="J37" s="516"/>
      <c r="L37" s="522"/>
      <c r="M37" s="389"/>
      <c r="N37" s="389"/>
      <c r="T37" s="518" t="s">
        <v>0</v>
      </c>
      <c r="U37" s="891">
        <f>MIN((2/3)*U36,22.8)</f>
        <v>20</v>
      </c>
      <c r="V37" s="891"/>
      <c r="W37" s="891"/>
      <c r="X37" s="520" t="s">
        <v>536</v>
      </c>
      <c r="AS37" s="893">
        <f>U37*PI()/180</f>
        <v>0.3490658503988659</v>
      </c>
      <c r="AT37" s="893"/>
      <c r="AU37" s="893"/>
      <c r="AV37" s="893"/>
    </row>
    <row r="38" spans="1:49" s="512" customFormat="1" x14ac:dyDescent="0.3">
      <c r="A38" s="511"/>
      <c r="B38" s="511"/>
      <c r="C38" s="389" t="s">
        <v>538</v>
      </c>
      <c r="D38" s="516"/>
      <c r="J38" s="516"/>
      <c r="L38" s="522"/>
      <c r="M38" s="389"/>
      <c r="N38" s="389"/>
      <c r="T38" s="518" t="s">
        <v>0</v>
      </c>
      <c r="U38" s="891">
        <v>0</v>
      </c>
      <c r="V38" s="891"/>
      <c r="W38" s="891"/>
      <c r="X38" s="520" t="s">
        <v>536</v>
      </c>
      <c r="AS38" s="893">
        <f>U38*PI()/180</f>
        <v>0</v>
      </c>
      <c r="AT38" s="893"/>
      <c r="AU38" s="893"/>
      <c r="AV38" s="893"/>
    </row>
    <row r="39" spans="1:49" s="512" customFormat="1" x14ac:dyDescent="0.3">
      <c r="A39" s="511"/>
      <c r="B39" s="511"/>
      <c r="C39" s="389" t="s">
        <v>539</v>
      </c>
      <c r="D39" s="516"/>
      <c r="J39" s="516"/>
      <c r="L39" s="522"/>
      <c r="M39" s="389"/>
      <c r="N39" s="389"/>
      <c r="T39" s="518" t="s">
        <v>0</v>
      </c>
      <c r="U39" s="892">
        <v>0</v>
      </c>
      <c r="V39" s="892"/>
      <c r="W39" s="892"/>
      <c r="X39" s="520" t="s">
        <v>536</v>
      </c>
      <c r="AS39" s="893">
        <f>U39*PI()/180</f>
        <v>0</v>
      </c>
      <c r="AT39" s="893"/>
      <c r="AU39" s="893"/>
      <c r="AV39" s="893"/>
    </row>
    <row r="40" spans="1:49" s="512" customFormat="1" x14ac:dyDescent="0.3">
      <c r="A40" s="511"/>
      <c r="B40" s="511"/>
      <c r="C40" s="389"/>
      <c r="D40" s="389"/>
      <c r="E40" s="389"/>
      <c r="F40" s="389"/>
      <c r="G40" s="389"/>
      <c r="H40" s="389"/>
      <c r="I40" s="389"/>
      <c r="J40" s="389"/>
      <c r="K40" s="389"/>
      <c r="L40" s="389"/>
      <c r="M40" s="389"/>
      <c r="N40" s="389"/>
      <c r="T40" s="389"/>
      <c r="U40" s="514"/>
      <c r="V40" s="514"/>
      <c r="W40" s="131"/>
      <c r="X40" s="513"/>
    </row>
    <row r="41" spans="1:49" x14ac:dyDescent="0.3">
      <c r="A41" s="42"/>
      <c r="B41" s="42"/>
      <c r="C41" s="360" t="s">
        <v>380</v>
      </c>
      <c r="D41" s="66"/>
      <c r="E41" s="66"/>
      <c r="F41" s="66"/>
      <c r="G41" s="66"/>
      <c r="H41" s="66"/>
      <c r="I41" s="66"/>
      <c r="J41" s="66"/>
      <c r="K41" s="66"/>
      <c r="L41" s="66"/>
      <c r="M41" s="66"/>
      <c r="N41" s="66"/>
      <c r="T41" s="66"/>
      <c r="U41" s="67"/>
      <c r="V41" s="67"/>
      <c r="W41" s="67"/>
      <c r="X41" s="67"/>
    </row>
    <row r="42" spans="1:49" ht="9" customHeight="1" x14ac:dyDescent="0.3">
      <c r="A42" s="42"/>
      <c r="B42" s="42"/>
      <c r="C42" s="66"/>
      <c r="D42" s="66"/>
      <c r="E42" s="66"/>
      <c r="F42" s="66"/>
      <c r="G42" s="66"/>
      <c r="H42" s="66"/>
      <c r="I42" s="66"/>
      <c r="J42" s="66"/>
      <c r="K42" s="66"/>
      <c r="L42" s="66"/>
      <c r="M42" s="66"/>
      <c r="N42" s="66"/>
      <c r="T42" s="66"/>
      <c r="U42" s="67"/>
      <c r="V42" s="67"/>
      <c r="W42" s="67"/>
      <c r="X42" s="67"/>
    </row>
    <row r="43" spans="1:49" x14ac:dyDescent="0.3">
      <c r="A43" s="42"/>
      <c r="B43" s="42"/>
      <c r="C43" s="66" t="s">
        <v>146</v>
      </c>
      <c r="D43" s="66"/>
      <c r="E43" s="66"/>
      <c r="F43" s="66"/>
      <c r="G43" s="66"/>
      <c r="H43" s="66"/>
      <c r="I43" s="66"/>
      <c r="J43" s="66"/>
      <c r="K43" s="66"/>
      <c r="L43" s="66"/>
      <c r="M43" s="66"/>
      <c r="N43" s="66"/>
      <c r="T43" s="66" t="s">
        <v>0</v>
      </c>
      <c r="U43" s="880">
        <v>25</v>
      </c>
      <c r="V43" s="880"/>
      <c r="W43" s="880"/>
      <c r="X43" s="880"/>
    </row>
    <row r="44" spans="1:49" x14ac:dyDescent="0.3">
      <c r="A44" s="42"/>
      <c r="B44" s="42"/>
      <c r="C44" s="66" t="s">
        <v>147</v>
      </c>
      <c r="D44" s="66"/>
      <c r="E44" s="66"/>
      <c r="F44" s="66"/>
      <c r="G44" s="66"/>
      <c r="H44" s="66"/>
      <c r="I44" s="66"/>
      <c r="J44" s="66"/>
      <c r="K44" s="66"/>
      <c r="L44" s="66"/>
      <c r="M44" s="66"/>
      <c r="N44" s="66"/>
      <c r="T44" s="66" t="s">
        <v>0</v>
      </c>
      <c r="U44" s="881">
        <v>500</v>
      </c>
      <c r="V44" s="881"/>
      <c r="W44" s="881"/>
      <c r="X44" s="881"/>
      <c r="AU44" s="695">
        <v>0.99999281760000003</v>
      </c>
      <c r="AV44" s="695"/>
      <c r="AW44" s="695"/>
    </row>
    <row r="45" spans="1:49" ht="17" x14ac:dyDescent="0.45">
      <c r="A45" s="42"/>
      <c r="B45" s="45"/>
      <c r="C45" s="53" t="s">
        <v>121</v>
      </c>
      <c r="D45" s="45"/>
      <c r="E45" s="45"/>
      <c r="F45" s="45"/>
      <c r="G45" s="45"/>
      <c r="H45" s="45"/>
      <c r="I45" s="45"/>
      <c r="J45" s="62"/>
      <c r="K45" s="45"/>
      <c r="L45" s="45"/>
      <c r="M45" s="62"/>
      <c r="N45" s="62"/>
      <c r="O45" s="62"/>
      <c r="P45" s="62"/>
      <c r="Q45" s="62"/>
      <c r="R45" s="62"/>
      <c r="S45" s="62"/>
      <c r="T45" s="54" t="s">
        <v>0</v>
      </c>
      <c r="U45" s="877">
        <f>U44</f>
        <v>500</v>
      </c>
      <c r="V45" s="877"/>
      <c r="W45" s="877"/>
      <c r="X45" s="877"/>
      <c r="Y45" s="45" t="s">
        <v>63</v>
      </c>
      <c r="Z45" s="45"/>
      <c r="AA45" s="45"/>
      <c r="AB45" s="45"/>
      <c r="AC45" s="45"/>
      <c r="AD45" s="45"/>
      <c r="AE45" s="45"/>
      <c r="AF45" s="45"/>
      <c r="AG45" s="45"/>
      <c r="AH45" s="45"/>
      <c r="AI45" s="45"/>
      <c r="AJ45" s="45"/>
      <c r="AK45" s="45"/>
      <c r="AL45" s="45"/>
      <c r="AM45" s="45"/>
      <c r="AS45" s="695">
        <f>0.99999</f>
        <v>0.99999000000000005</v>
      </c>
      <c r="AT45" s="695"/>
      <c r="AU45" s="695"/>
      <c r="AV45" s="695"/>
      <c r="AW45" s="695"/>
    </row>
    <row r="46" spans="1:49" ht="17" x14ac:dyDescent="0.45">
      <c r="A46" s="42"/>
      <c r="B46" s="45"/>
      <c r="C46" s="53" t="s">
        <v>122</v>
      </c>
      <c r="D46" s="45"/>
      <c r="E46" s="45"/>
      <c r="F46" s="45"/>
      <c r="G46" s="45"/>
      <c r="H46" s="45"/>
      <c r="I46" s="45"/>
      <c r="J46" s="45"/>
      <c r="K46" s="45"/>
      <c r="L46" s="45"/>
      <c r="M46" s="62"/>
      <c r="N46" s="62"/>
      <c r="O46" s="62"/>
      <c r="P46" s="62"/>
      <c r="Q46" s="62"/>
      <c r="R46" s="62"/>
      <c r="S46" s="62"/>
      <c r="T46" s="70" t="s">
        <v>0</v>
      </c>
      <c r="U46" s="878">
        <f>U45/1.15</f>
        <v>434.78260869565219</v>
      </c>
      <c r="V46" s="878"/>
      <c r="W46" s="878"/>
      <c r="X46" s="878"/>
      <c r="Y46" s="45" t="s">
        <v>63</v>
      </c>
      <c r="Z46" s="45"/>
      <c r="AA46" s="45"/>
      <c r="AB46" s="45"/>
      <c r="AC46" s="45"/>
      <c r="AD46" s="45"/>
      <c r="AE46" s="45"/>
      <c r="AF46" s="45"/>
      <c r="AG46" s="45"/>
      <c r="AH46" s="45"/>
      <c r="AI46" s="45"/>
      <c r="AJ46" s="45"/>
      <c r="AK46" s="45"/>
      <c r="AL46" s="45"/>
      <c r="AM46" s="45"/>
    </row>
    <row r="47" spans="1:49" x14ac:dyDescent="0.3">
      <c r="A47" s="42"/>
      <c r="B47" s="45"/>
      <c r="C47" s="54" t="s">
        <v>123</v>
      </c>
      <c r="D47" s="45"/>
      <c r="E47" s="45"/>
      <c r="F47" s="45"/>
      <c r="G47" s="45"/>
      <c r="H47" s="45"/>
      <c r="I47" s="45"/>
      <c r="J47" s="62"/>
      <c r="K47" s="45"/>
      <c r="L47" s="45"/>
      <c r="M47" s="62"/>
      <c r="N47" s="62"/>
      <c r="O47" s="62"/>
      <c r="P47" s="62"/>
      <c r="Q47" s="62"/>
      <c r="R47" s="62"/>
      <c r="S47" s="62"/>
      <c r="T47" s="54" t="s">
        <v>0</v>
      </c>
      <c r="U47" s="877">
        <f>U43</f>
        <v>25</v>
      </c>
      <c r="V47" s="877"/>
      <c r="W47" s="877"/>
      <c r="X47" s="877"/>
      <c r="Y47" s="45" t="s">
        <v>63</v>
      </c>
      <c r="Z47" s="45"/>
      <c r="AA47" s="45"/>
      <c r="AB47" s="45"/>
      <c r="AC47" s="45"/>
      <c r="AD47" s="45"/>
      <c r="AE47" s="45"/>
      <c r="AF47" s="45"/>
      <c r="AG47" s="45"/>
      <c r="AH47" s="45"/>
      <c r="AI47" s="45"/>
      <c r="AJ47" s="45"/>
      <c r="AK47" s="45"/>
      <c r="AL47" s="45"/>
      <c r="AM47" s="45"/>
    </row>
    <row r="48" spans="1:49" ht="17" x14ac:dyDescent="0.45">
      <c r="A48" s="42"/>
      <c r="B48" s="45"/>
      <c r="C48" s="54" t="s">
        <v>149</v>
      </c>
      <c r="D48" s="45"/>
      <c r="E48" s="45"/>
      <c r="F48" s="54"/>
      <c r="G48" s="55"/>
      <c r="H48" s="55"/>
      <c r="I48" s="55"/>
      <c r="J48" s="62"/>
      <c r="K48" s="45"/>
      <c r="L48" s="45"/>
      <c r="M48" s="62"/>
      <c r="N48" s="62"/>
      <c r="O48" s="45"/>
      <c r="P48" s="45"/>
      <c r="Q48" s="45"/>
      <c r="R48" s="45"/>
      <c r="S48" s="45"/>
      <c r="T48" s="54" t="s">
        <v>0</v>
      </c>
      <c r="U48" s="879">
        <v>1.5</v>
      </c>
      <c r="V48" s="879"/>
      <c r="W48" s="879"/>
      <c r="X48" s="879"/>
      <c r="Y48" s="56" t="s">
        <v>124</v>
      </c>
      <c r="Z48" s="45"/>
      <c r="AA48" s="45"/>
      <c r="AB48" s="45"/>
      <c r="AC48" s="45"/>
      <c r="AD48" s="45"/>
      <c r="AE48" s="45"/>
      <c r="AF48" s="45"/>
      <c r="AG48" s="45"/>
      <c r="AH48" s="45"/>
      <c r="AI48" s="45"/>
      <c r="AJ48" s="45"/>
      <c r="AK48" s="45"/>
      <c r="AL48" s="45"/>
      <c r="AM48" s="45"/>
    </row>
    <row r="49" spans="1:83" x14ac:dyDescent="0.3">
      <c r="A49" s="42"/>
      <c r="B49" s="45"/>
      <c r="C49" s="54"/>
      <c r="D49" s="45"/>
      <c r="E49" s="45"/>
      <c r="F49" s="54"/>
      <c r="G49" s="55"/>
      <c r="H49" s="55"/>
      <c r="I49" s="55"/>
      <c r="J49" s="62"/>
      <c r="K49" s="45"/>
      <c r="L49" s="45"/>
      <c r="M49" s="62"/>
      <c r="N49" s="62"/>
      <c r="O49" s="45"/>
      <c r="P49" s="45"/>
      <c r="Q49" s="45"/>
      <c r="R49" s="45"/>
      <c r="S49" s="45"/>
      <c r="T49" s="62"/>
      <c r="U49" s="879">
        <v>1.2</v>
      </c>
      <c r="V49" s="879"/>
      <c r="W49" s="879"/>
      <c r="X49" s="879"/>
      <c r="Y49" s="56" t="s">
        <v>125</v>
      </c>
      <c r="Z49" s="45"/>
      <c r="AA49" s="45"/>
      <c r="AB49" s="45"/>
      <c r="AC49" s="45"/>
      <c r="AD49" s="45"/>
      <c r="AE49" s="45"/>
      <c r="AF49" s="45"/>
      <c r="AG49" s="45"/>
      <c r="AH49" s="45"/>
      <c r="AI49" s="45"/>
      <c r="AJ49" s="45"/>
      <c r="AK49" s="45"/>
      <c r="AL49" s="45"/>
      <c r="AM49" s="45"/>
    </row>
    <row r="50" spans="1:83" x14ac:dyDescent="0.3">
      <c r="A50" s="42"/>
      <c r="B50" s="45"/>
      <c r="C50" s="54" t="s">
        <v>126</v>
      </c>
      <c r="D50" s="45"/>
      <c r="E50" s="45"/>
      <c r="F50" s="45"/>
      <c r="G50" s="45"/>
      <c r="H50" s="45"/>
      <c r="I50" s="45"/>
      <c r="J50" s="62"/>
      <c r="K50" s="45"/>
      <c r="L50" s="45"/>
      <c r="M50" s="62"/>
      <c r="N50" s="62"/>
      <c r="O50" s="62"/>
      <c r="P50" s="62"/>
      <c r="Q50" s="62"/>
      <c r="R50" s="45"/>
      <c r="S50" s="45"/>
      <c r="T50" s="54" t="s">
        <v>0</v>
      </c>
      <c r="U50" s="901">
        <v>0.67</v>
      </c>
      <c r="V50" s="901"/>
      <c r="W50" s="901"/>
      <c r="X50" s="901"/>
      <c r="Y50" s="45" t="s">
        <v>127</v>
      </c>
      <c r="Z50" s="45"/>
      <c r="AB50" s="45"/>
      <c r="AC50" s="45"/>
      <c r="AD50" s="45"/>
      <c r="AE50" s="45"/>
      <c r="AF50" s="45"/>
      <c r="AG50" s="45"/>
      <c r="AH50" s="45"/>
      <c r="AI50" s="45"/>
      <c r="AJ50" s="45"/>
      <c r="AK50" s="45"/>
      <c r="AL50" s="45"/>
      <c r="AM50" s="45"/>
    </row>
    <row r="51" spans="1:83" ht="17" x14ac:dyDescent="0.45">
      <c r="A51" s="42"/>
      <c r="B51" s="45"/>
      <c r="C51" s="57" t="s">
        <v>128</v>
      </c>
      <c r="D51" s="45"/>
      <c r="E51" s="45"/>
      <c r="F51" s="45"/>
      <c r="G51" s="45"/>
      <c r="H51" s="45"/>
      <c r="I51" s="45"/>
      <c r="J51" s="45"/>
      <c r="K51" s="45"/>
      <c r="L51" s="45"/>
      <c r="M51" s="62"/>
      <c r="N51" s="62"/>
      <c r="O51" s="62"/>
      <c r="P51" s="62"/>
      <c r="Q51" s="62"/>
      <c r="R51" s="45"/>
      <c r="S51" s="45"/>
      <c r="T51" s="57" t="s">
        <v>0</v>
      </c>
      <c r="U51" s="902" t="s">
        <v>129</v>
      </c>
      <c r="V51" s="902"/>
      <c r="W51" s="58"/>
      <c r="X51" s="58"/>
      <c r="Y51" s="45"/>
      <c r="Z51" s="45"/>
      <c r="AA51" s="45"/>
      <c r="AB51" s="45"/>
      <c r="AC51" s="45"/>
      <c r="AD51" s="45"/>
      <c r="AE51" s="45"/>
      <c r="AF51" s="45"/>
      <c r="AG51" s="45"/>
      <c r="AH51" s="45"/>
      <c r="AI51" s="45"/>
      <c r="AJ51" s="45"/>
      <c r="AK51" s="45"/>
      <c r="AL51" s="45"/>
      <c r="AM51" s="45"/>
    </row>
    <row r="52" spans="1:83" ht="17" x14ac:dyDescent="0.45">
      <c r="A52" s="42"/>
      <c r="B52" s="45"/>
      <c r="C52" s="57"/>
      <c r="D52" s="45"/>
      <c r="E52" s="45"/>
      <c r="F52" s="45"/>
      <c r="G52" s="45"/>
      <c r="H52" s="45"/>
      <c r="I52" s="45"/>
      <c r="J52" s="45"/>
      <c r="K52" s="45"/>
      <c r="L52" s="45"/>
      <c r="M52" s="62"/>
      <c r="N52" s="62"/>
      <c r="O52" s="62"/>
      <c r="P52" s="62"/>
      <c r="Q52" s="62"/>
      <c r="R52" s="45"/>
      <c r="S52" s="45"/>
      <c r="T52" s="57"/>
      <c r="U52" s="912" t="s">
        <v>130</v>
      </c>
      <c r="V52" s="912"/>
      <c r="W52" s="58"/>
      <c r="X52" s="58"/>
      <c r="Y52" s="45"/>
      <c r="Z52" s="45"/>
      <c r="AA52" s="45"/>
      <c r="AB52" s="45"/>
      <c r="AC52" s="45"/>
      <c r="AD52" s="45"/>
      <c r="AE52" s="45"/>
      <c r="AF52" s="45"/>
      <c r="AG52" s="45"/>
      <c r="AH52" s="45"/>
      <c r="AI52" s="45"/>
      <c r="AJ52" s="45"/>
      <c r="AK52" s="45"/>
      <c r="AL52" s="45"/>
      <c r="AM52" s="45"/>
      <c r="AV52" s="45" t="s">
        <v>148</v>
      </c>
      <c r="AW52" s="45"/>
      <c r="AX52" s="45"/>
      <c r="AY52" s="45"/>
      <c r="AZ52" s="45"/>
      <c r="BA52" s="45"/>
      <c r="BB52" s="45"/>
      <c r="BC52" s="45"/>
      <c r="BD52" s="45"/>
      <c r="BE52" s="45"/>
      <c r="BF52" s="45"/>
      <c r="BG52" s="45"/>
      <c r="BH52" s="45"/>
      <c r="BI52" s="45"/>
      <c r="BJ52" s="45"/>
      <c r="BK52" s="45"/>
      <c r="BL52" s="45"/>
      <c r="BM52" s="45"/>
      <c r="BN52" s="45"/>
      <c r="BO52" s="45"/>
      <c r="BP52" s="45"/>
      <c r="BQ52" s="45"/>
      <c r="BR52" s="45"/>
      <c r="BS52" s="45"/>
      <c r="BT52" s="45"/>
      <c r="BU52" s="45"/>
      <c r="BV52" s="45"/>
      <c r="BW52" s="45"/>
      <c r="BX52" s="45"/>
      <c r="BY52" s="45"/>
      <c r="BZ52" s="45"/>
      <c r="CA52" s="45"/>
      <c r="CB52" s="45"/>
      <c r="CC52" s="45"/>
      <c r="CD52" s="45"/>
      <c r="CE52" s="45"/>
    </row>
    <row r="53" spans="1:83" x14ac:dyDescent="0.3">
      <c r="A53" s="42"/>
      <c r="B53" s="45"/>
      <c r="C53" s="57"/>
      <c r="D53" s="45"/>
      <c r="E53" s="45"/>
      <c r="F53" s="45"/>
      <c r="G53" s="45"/>
      <c r="H53" s="45"/>
      <c r="I53" s="45"/>
      <c r="J53" s="45"/>
      <c r="K53" s="45"/>
      <c r="L53" s="45"/>
      <c r="M53" s="62"/>
      <c r="N53" s="62"/>
      <c r="O53" s="62"/>
      <c r="P53" s="62"/>
      <c r="Q53" s="62"/>
      <c r="R53" s="45"/>
      <c r="S53" s="45"/>
      <c r="T53" s="54" t="s">
        <v>0</v>
      </c>
      <c r="U53" s="936">
        <f>(U50*U47)/U48</f>
        <v>11.166666666666666</v>
      </c>
      <c r="V53" s="936"/>
      <c r="W53" s="936"/>
      <c r="X53" s="936"/>
      <c r="Y53" s="45" t="s">
        <v>63</v>
      </c>
      <c r="Z53" s="45"/>
      <c r="AA53" s="45"/>
      <c r="AB53" s="45"/>
      <c r="AC53" s="45"/>
      <c r="AD53" s="45"/>
      <c r="AE53" s="45"/>
      <c r="AF53" s="45"/>
      <c r="AG53" s="45"/>
      <c r="AH53" s="45"/>
      <c r="AI53" s="45"/>
      <c r="AJ53" s="45"/>
      <c r="AK53" s="45"/>
      <c r="AL53" s="45"/>
      <c r="AM53" s="45"/>
      <c r="AV53" s="897">
        <v>15</v>
      </c>
      <c r="AW53" s="897"/>
      <c r="AX53" s="897"/>
      <c r="AY53" s="897">
        <v>20</v>
      </c>
      <c r="AZ53" s="897"/>
      <c r="BA53" s="897"/>
      <c r="BB53" s="897">
        <v>25</v>
      </c>
      <c r="BC53" s="897"/>
      <c r="BD53" s="897"/>
      <c r="BE53" s="897">
        <v>30</v>
      </c>
      <c r="BF53" s="897"/>
      <c r="BG53" s="897"/>
      <c r="BH53" s="897">
        <v>35</v>
      </c>
      <c r="BI53" s="897"/>
      <c r="BJ53" s="897"/>
      <c r="BK53" s="897">
        <v>40</v>
      </c>
      <c r="BL53" s="897"/>
      <c r="BM53" s="897"/>
      <c r="BN53" s="897">
        <v>45</v>
      </c>
      <c r="BO53" s="897"/>
      <c r="BP53" s="897"/>
      <c r="BQ53" s="897">
        <v>50</v>
      </c>
      <c r="BR53" s="897"/>
      <c r="BS53" s="897"/>
      <c r="BT53" s="897">
        <v>55</v>
      </c>
      <c r="BU53" s="897"/>
      <c r="BV53" s="897"/>
      <c r="BW53" s="897">
        <v>60</v>
      </c>
      <c r="BX53" s="897"/>
      <c r="BY53" s="897"/>
      <c r="BZ53" s="897">
        <v>65</v>
      </c>
      <c r="CA53" s="897"/>
      <c r="CB53" s="897"/>
      <c r="CC53" s="897">
        <v>70</v>
      </c>
      <c r="CD53" s="897"/>
      <c r="CE53" s="897"/>
    </row>
    <row r="54" spans="1:83" ht="17" x14ac:dyDescent="0.3">
      <c r="A54" s="42"/>
      <c r="B54" s="45"/>
      <c r="C54" s="59" t="s">
        <v>131</v>
      </c>
      <c r="D54" s="60"/>
      <c r="E54" s="60"/>
      <c r="F54" s="60"/>
      <c r="G54" s="60"/>
      <c r="H54" s="60"/>
      <c r="I54" s="60"/>
      <c r="J54" s="60"/>
      <c r="K54" s="60"/>
      <c r="L54" s="60"/>
      <c r="M54" s="71"/>
      <c r="N54" s="71"/>
      <c r="O54" s="71"/>
      <c r="P54" s="71"/>
      <c r="Q54" s="71"/>
      <c r="R54" s="60"/>
      <c r="S54" s="60"/>
      <c r="T54" s="61" t="s">
        <v>0</v>
      </c>
      <c r="U54" s="937">
        <f>0.259*(U47^(2/3))</f>
        <v>2.2144188509463216</v>
      </c>
      <c r="V54" s="937"/>
      <c r="W54" s="937"/>
      <c r="X54" s="937"/>
      <c r="Y54" s="60" t="s">
        <v>63</v>
      </c>
      <c r="Z54" s="60"/>
      <c r="AA54" s="45"/>
      <c r="AB54" s="903" t="s">
        <v>132</v>
      </c>
      <c r="AC54" s="903"/>
      <c r="AD54" s="903"/>
      <c r="AE54" s="903"/>
      <c r="AF54" s="903"/>
      <c r="AG54" s="903"/>
      <c r="AH54" s="903"/>
      <c r="AI54" s="903"/>
      <c r="AJ54" s="903"/>
      <c r="AK54" s="903"/>
      <c r="AL54" s="903"/>
      <c r="AM54" s="903"/>
      <c r="AV54" s="898">
        <v>27</v>
      </c>
      <c r="AW54" s="898"/>
      <c r="AX54" s="898"/>
      <c r="AY54" s="898">
        <v>29</v>
      </c>
      <c r="AZ54" s="898"/>
      <c r="BA54" s="898"/>
      <c r="BB54" s="898">
        <v>30</v>
      </c>
      <c r="BC54" s="898"/>
      <c r="BD54" s="898"/>
      <c r="BE54" s="898">
        <v>31</v>
      </c>
      <c r="BF54" s="898"/>
      <c r="BG54" s="898"/>
      <c r="BH54" s="898">
        <v>32</v>
      </c>
      <c r="BI54" s="898"/>
      <c r="BJ54" s="898"/>
      <c r="BK54" s="898">
        <v>33</v>
      </c>
      <c r="BL54" s="898"/>
      <c r="BM54" s="898"/>
      <c r="BN54" s="898">
        <v>34</v>
      </c>
      <c r="BO54" s="898"/>
      <c r="BP54" s="898"/>
      <c r="BQ54" s="898">
        <v>35</v>
      </c>
      <c r="BR54" s="898"/>
      <c r="BS54" s="898"/>
      <c r="BT54" s="898">
        <v>36</v>
      </c>
      <c r="BU54" s="898"/>
      <c r="BV54" s="898"/>
      <c r="BW54" s="898">
        <v>37</v>
      </c>
      <c r="BX54" s="898"/>
      <c r="BY54" s="898"/>
      <c r="BZ54" s="898">
        <v>37</v>
      </c>
      <c r="CA54" s="898"/>
      <c r="CB54" s="898"/>
      <c r="CC54" s="898">
        <v>37</v>
      </c>
      <c r="CD54" s="898"/>
      <c r="CE54" s="898"/>
    </row>
    <row r="55" spans="1:83" x14ac:dyDescent="0.3">
      <c r="A55" s="42"/>
      <c r="B55" s="45"/>
      <c r="C55" s="45" t="s">
        <v>133</v>
      </c>
      <c r="D55" s="45"/>
      <c r="E55" s="45"/>
      <c r="F55" s="45"/>
      <c r="G55" s="45"/>
      <c r="H55" s="45"/>
      <c r="I55" s="45"/>
      <c r="J55" s="62"/>
      <c r="K55" s="45"/>
      <c r="L55" s="45"/>
      <c r="M55" s="62"/>
      <c r="N55" s="62"/>
      <c r="O55" s="62"/>
      <c r="P55" s="62"/>
      <c r="Q55" s="45"/>
      <c r="R55" s="45"/>
      <c r="S55" s="45"/>
      <c r="T55" s="70" t="s">
        <v>0</v>
      </c>
      <c r="U55" s="885">
        <f>HLOOKUP(U43,AV53:CE54,2,FALSE)*1000</f>
        <v>30000</v>
      </c>
      <c r="V55" s="885"/>
      <c r="W55" s="885"/>
      <c r="X55" s="885"/>
      <c r="Y55" s="45" t="s">
        <v>63</v>
      </c>
      <c r="Z55" s="45"/>
      <c r="AA55" s="45"/>
      <c r="AB55" s="45"/>
      <c r="AC55" s="45"/>
      <c r="AD55" s="45"/>
      <c r="AE55" s="45"/>
      <c r="AF55" s="45"/>
      <c r="AG55" s="45"/>
      <c r="AH55" s="45"/>
      <c r="AI55" s="45"/>
      <c r="AJ55" s="45"/>
      <c r="AK55" s="45"/>
      <c r="AL55" s="45"/>
      <c r="AM55" s="45"/>
    </row>
    <row r="56" spans="1:83" x14ac:dyDescent="0.3">
      <c r="A56" s="42"/>
      <c r="B56" s="45"/>
      <c r="C56" s="45" t="s">
        <v>134</v>
      </c>
      <c r="D56" s="45"/>
      <c r="E56" s="45"/>
      <c r="F56" s="45"/>
      <c r="G56" s="45"/>
      <c r="H56" s="45"/>
      <c r="I56" s="45"/>
      <c r="J56" s="62"/>
      <c r="K56" s="45"/>
      <c r="L56" s="45"/>
      <c r="M56" s="62"/>
      <c r="N56" s="45"/>
      <c r="O56" s="45"/>
      <c r="P56" s="45"/>
      <c r="Q56" s="45"/>
      <c r="R56" s="62"/>
      <c r="S56" s="45"/>
      <c r="T56" s="45" t="s">
        <v>0</v>
      </c>
      <c r="U56" s="885">
        <v>200000</v>
      </c>
      <c r="V56" s="885"/>
      <c r="W56" s="885"/>
      <c r="X56" s="885"/>
      <c r="Y56" s="45" t="s">
        <v>63</v>
      </c>
      <c r="Z56" s="45"/>
      <c r="AA56" s="45"/>
      <c r="AB56" s="45"/>
      <c r="AC56" s="45"/>
      <c r="AD56" s="45"/>
      <c r="AE56" s="45"/>
      <c r="AF56" s="45"/>
      <c r="AG56" s="45"/>
      <c r="AH56" s="45"/>
      <c r="AI56" s="45"/>
      <c r="AJ56" s="45"/>
      <c r="AK56" s="45"/>
      <c r="AL56" s="45"/>
      <c r="AM56" s="45"/>
    </row>
    <row r="57" spans="1:83" x14ac:dyDescent="0.3">
      <c r="A57" s="42"/>
      <c r="B57" s="45"/>
      <c r="C57" s="54" t="s">
        <v>135</v>
      </c>
      <c r="D57" s="45"/>
      <c r="E57" s="45"/>
      <c r="F57" s="45"/>
      <c r="G57" s="45"/>
      <c r="H57" s="45"/>
      <c r="I57" s="45"/>
      <c r="J57" s="62"/>
      <c r="K57" s="45"/>
      <c r="L57" s="45"/>
      <c r="M57" s="62"/>
      <c r="N57" s="62"/>
      <c r="O57" s="62"/>
      <c r="P57" s="62"/>
      <c r="Q57" s="62"/>
      <c r="R57" s="62"/>
      <c r="S57" s="45"/>
      <c r="T57" s="54" t="s">
        <v>0</v>
      </c>
      <c r="U57" s="888">
        <v>1</v>
      </c>
      <c r="V57" s="888"/>
      <c r="W57" s="888"/>
      <c r="X57" s="888"/>
      <c r="Y57" s="45" t="s">
        <v>136</v>
      </c>
      <c r="Z57" s="45"/>
      <c r="AA57" s="45"/>
      <c r="AB57" s="45"/>
      <c r="AC57" s="45"/>
      <c r="AD57" s="45"/>
      <c r="AE57" s="45"/>
      <c r="AF57" s="45"/>
      <c r="AG57" s="45"/>
      <c r="AH57" s="45"/>
      <c r="AI57" s="45"/>
      <c r="AJ57" s="45"/>
      <c r="AK57" s="45"/>
      <c r="AL57" s="45"/>
      <c r="AM57" s="45"/>
    </row>
    <row r="58" spans="1:83" x14ac:dyDescent="0.3">
      <c r="A58" s="42"/>
      <c r="B58" s="45"/>
      <c r="C58" s="54" t="s">
        <v>137</v>
      </c>
      <c r="D58" s="45"/>
      <c r="E58" s="45"/>
      <c r="F58" s="45"/>
      <c r="G58" s="45"/>
      <c r="H58" s="45"/>
      <c r="I58" s="45"/>
      <c r="J58" s="62"/>
      <c r="K58" s="45"/>
      <c r="L58" s="45"/>
      <c r="M58" s="62"/>
      <c r="N58" s="62"/>
      <c r="O58" s="62"/>
      <c r="P58" s="62"/>
      <c r="Q58" s="62"/>
      <c r="R58" s="62"/>
      <c r="S58" s="45"/>
      <c r="T58" s="54" t="s">
        <v>0</v>
      </c>
      <c r="U58" s="886">
        <v>0.8</v>
      </c>
      <c r="V58" s="886"/>
      <c r="W58" s="886"/>
      <c r="X58" s="886"/>
      <c r="Y58" s="45" t="s">
        <v>136</v>
      </c>
      <c r="Z58" s="45"/>
      <c r="AA58" s="45"/>
      <c r="AB58" s="45"/>
      <c r="AC58" s="45"/>
      <c r="AD58" s="45"/>
      <c r="AE58" s="45"/>
      <c r="AF58" s="45"/>
      <c r="AG58" s="45"/>
      <c r="AH58" s="45"/>
      <c r="AI58" s="45"/>
      <c r="AJ58" s="45"/>
      <c r="AK58" s="45"/>
      <c r="AL58" s="45"/>
      <c r="AM58" s="45"/>
    </row>
    <row r="59" spans="1:83" ht="17" x14ac:dyDescent="0.45">
      <c r="A59" s="42"/>
      <c r="B59" s="45"/>
      <c r="C59" s="54" t="s">
        <v>138</v>
      </c>
      <c r="D59" s="45"/>
      <c r="E59" s="45"/>
      <c r="F59" s="45"/>
      <c r="G59" s="45"/>
      <c r="H59" s="45"/>
      <c r="I59" s="45"/>
      <c r="J59" s="62"/>
      <c r="K59" s="45"/>
      <c r="L59" s="45"/>
      <c r="M59" s="62"/>
      <c r="N59" s="62"/>
      <c r="O59" s="62"/>
      <c r="P59" s="62"/>
      <c r="Q59" s="62"/>
      <c r="R59" s="62"/>
      <c r="S59" s="45"/>
      <c r="T59" s="54" t="s">
        <v>0</v>
      </c>
      <c r="U59" s="847">
        <f>U53*U57</f>
        <v>11.166666666666666</v>
      </c>
      <c r="V59" s="847"/>
      <c r="W59" s="847"/>
      <c r="X59" s="847"/>
      <c r="Y59" s="45" t="s">
        <v>63</v>
      </c>
      <c r="Z59" s="45"/>
      <c r="AA59" s="45"/>
      <c r="AB59" s="45"/>
      <c r="AC59" s="45"/>
      <c r="AD59" s="45"/>
      <c r="AE59" s="45"/>
      <c r="AF59" s="45"/>
      <c r="AG59" s="45"/>
      <c r="AH59" s="45"/>
      <c r="AI59" s="45"/>
      <c r="AJ59" s="45"/>
      <c r="AK59" s="45"/>
      <c r="AL59" s="45"/>
      <c r="AM59" s="45"/>
    </row>
    <row r="60" spans="1:83" x14ac:dyDescent="0.3">
      <c r="A60" s="42"/>
      <c r="B60" s="45"/>
      <c r="C60" s="54" t="s">
        <v>139</v>
      </c>
      <c r="D60" s="45"/>
      <c r="E60" s="45"/>
      <c r="F60" s="45"/>
      <c r="G60" s="45"/>
      <c r="H60" s="45"/>
      <c r="I60" s="45"/>
      <c r="J60" s="62"/>
      <c r="K60" s="45"/>
      <c r="L60" s="45"/>
      <c r="M60" s="62"/>
      <c r="N60" s="62"/>
      <c r="O60" s="62"/>
      <c r="P60" s="62"/>
      <c r="Q60" s="45"/>
      <c r="R60" s="45"/>
      <c r="S60" s="45"/>
      <c r="T60" s="54" t="s">
        <v>0</v>
      </c>
      <c r="U60" s="887">
        <f>U58*U65</f>
        <v>0.49348659003831419</v>
      </c>
      <c r="V60" s="887"/>
      <c r="W60" s="887"/>
      <c r="X60" s="887"/>
      <c r="Y60" s="45"/>
      <c r="Z60" s="45"/>
      <c r="AA60" s="45"/>
      <c r="AB60" s="45"/>
      <c r="AC60" s="45"/>
      <c r="AD60" s="45"/>
      <c r="AE60" s="45"/>
      <c r="AF60" s="45"/>
      <c r="AG60" s="45"/>
      <c r="AH60" s="45"/>
      <c r="AI60" s="45"/>
      <c r="AJ60" s="45"/>
      <c r="AK60" s="45"/>
      <c r="AL60" s="45"/>
      <c r="AM60" s="45"/>
    </row>
    <row r="61" spans="1:83" x14ac:dyDescent="0.3">
      <c r="A61" s="42"/>
      <c r="B61" s="45"/>
      <c r="C61" s="45" t="s">
        <v>140</v>
      </c>
      <c r="D61" s="45"/>
      <c r="E61" s="45"/>
      <c r="F61" s="45"/>
      <c r="G61" s="45"/>
      <c r="H61" s="45"/>
      <c r="I61" s="45"/>
      <c r="J61" s="62"/>
      <c r="K61" s="45"/>
      <c r="L61" s="45"/>
      <c r="M61" s="62"/>
      <c r="N61" s="62"/>
      <c r="O61" s="62" t="s">
        <v>0</v>
      </c>
      <c r="P61" s="63" t="s">
        <v>141</v>
      </c>
      <c r="Q61" s="62"/>
      <c r="R61" s="62"/>
      <c r="S61" s="45"/>
      <c r="T61" s="64" t="s">
        <v>0</v>
      </c>
      <c r="U61" s="847">
        <f>1-(U60/2)</f>
        <v>0.75325670498084296</v>
      </c>
      <c r="V61" s="847"/>
      <c r="W61" s="847"/>
      <c r="X61" s="65" t="s">
        <v>37</v>
      </c>
      <c r="Y61" s="45"/>
      <c r="Z61" s="45"/>
      <c r="AA61" s="45"/>
      <c r="AB61" s="45"/>
      <c r="AC61" s="45"/>
      <c r="AD61" s="45"/>
      <c r="AE61" s="45"/>
      <c r="AF61" s="45"/>
      <c r="AG61" s="45"/>
      <c r="AH61" s="45"/>
      <c r="AI61" s="45"/>
      <c r="AJ61" s="45"/>
      <c r="AK61" s="45"/>
      <c r="AL61" s="45"/>
      <c r="AM61" s="45"/>
    </row>
    <row r="62" spans="1:83" x14ac:dyDescent="0.3">
      <c r="A62" s="42"/>
      <c r="B62" s="45"/>
      <c r="C62" s="54" t="s">
        <v>142</v>
      </c>
      <c r="D62" s="45"/>
      <c r="E62" s="45"/>
      <c r="F62" s="45"/>
      <c r="G62" s="45"/>
      <c r="H62" s="45"/>
      <c r="I62" s="45"/>
      <c r="J62" s="45"/>
      <c r="K62" s="45"/>
      <c r="L62" s="45"/>
      <c r="M62" s="45"/>
      <c r="N62" s="62"/>
      <c r="O62" s="62"/>
      <c r="P62" s="62"/>
      <c r="Q62" s="45"/>
      <c r="R62" s="62"/>
      <c r="S62" s="62"/>
      <c r="T62" s="62" t="s">
        <v>0</v>
      </c>
      <c r="U62" s="887">
        <f>U60*U59*U61</f>
        <v>4.1508965908701674</v>
      </c>
      <c r="V62" s="887"/>
      <c r="W62" s="887"/>
      <c r="X62" s="887"/>
      <c r="Y62" s="45" t="s">
        <v>63</v>
      </c>
      <c r="Z62" s="45"/>
      <c r="AA62" s="45"/>
      <c r="AB62" s="63" t="s">
        <v>152</v>
      </c>
      <c r="AC62" s="45"/>
      <c r="AD62" s="45"/>
      <c r="AE62" s="45"/>
      <c r="AF62" s="45"/>
      <c r="AG62" s="45"/>
      <c r="AH62" s="45"/>
      <c r="AI62" s="45"/>
      <c r="AJ62" s="45"/>
      <c r="AK62" s="45"/>
      <c r="AL62" s="45"/>
      <c r="AM62" s="45"/>
    </row>
    <row r="63" spans="1:83" ht="17" x14ac:dyDescent="0.45">
      <c r="A63" s="42"/>
      <c r="B63" s="45"/>
      <c r="C63" s="45" t="s">
        <v>153</v>
      </c>
      <c r="D63" s="45"/>
      <c r="E63" s="45"/>
      <c r="F63" s="45"/>
      <c r="G63" s="45"/>
      <c r="H63" s="45"/>
      <c r="I63" s="45"/>
      <c r="J63" s="62"/>
      <c r="K63" s="45"/>
      <c r="L63" s="45"/>
      <c r="M63" s="62"/>
      <c r="N63" s="45"/>
      <c r="O63" s="45"/>
      <c r="P63" s="45"/>
      <c r="Q63" s="45"/>
      <c r="R63" s="62"/>
      <c r="S63" s="45"/>
      <c r="T63" s="45" t="s">
        <v>0</v>
      </c>
      <c r="U63" s="845">
        <f>3.5/1000</f>
        <v>3.5000000000000001E-3</v>
      </c>
      <c r="V63" s="845"/>
      <c r="W63" s="845"/>
      <c r="X63" s="845"/>
      <c r="Y63" s="45" t="s">
        <v>143</v>
      </c>
      <c r="Z63" s="45"/>
      <c r="AA63" s="45"/>
      <c r="AB63" s="45"/>
      <c r="AC63" s="45"/>
      <c r="AD63" s="45"/>
      <c r="AE63" s="45"/>
      <c r="AF63" s="45"/>
      <c r="AG63" s="45"/>
      <c r="AH63" s="45"/>
      <c r="AI63" s="45"/>
      <c r="AJ63" s="45"/>
      <c r="AK63" s="45"/>
      <c r="AL63" s="45"/>
      <c r="AM63" s="45"/>
    </row>
    <row r="64" spans="1:83" x14ac:dyDescent="0.3">
      <c r="A64" s="42"/>
      <c r="B64" s="45"/>
      <c r="C64" s="45" t="s">
        <v>154</v>
      </c>
      <c r="D64" s="45"/>
      <c r="E64" s="45"/>
      <c r="F64" s="45"/>
      <c r="G64" s="45"/>
      <c r="H64" s="45"/>
      <c r="I64" s="45"/>
      <c r="J64" s="62"/>
      <c r="K64" s="45"/>
      <c r="L64" s="45"/>
      <c r="M64" s="62"/>
      <c r="N64" s="45"/>
      <c r="O64" s="45"/>
      <c r="P64" s="45"/>
      <c r="Q64" s="45"/>
      <c r="R64" s="62"/>
      <c r="S64" s="45"/>
      <c r="T64" s="45" t="s">
        <v>0</v>
      </c>
      <c r="U64" s="846">
        <f>U45/1.15/U56</f>
        <v>2.1739130434782609E-3</v>
      </c>
      <c r="V64" s="846"/>
      <c r="W64" s="846"/>
      <c r="X64" s="846"/>
      <c r="Y64" s="45" t="s">
        <v>155</v>
      </c>
      <c r="Z64" s="45"/>
      <c r="AA64" s="45"/>
      <c r="AB64" s="45"/>
      <c r="AC64" s="45"/>
      <c r="AD64" s="45"/>
      <c r="AE64" s="45"/>
      <c r="AF64" s="45"/>
      <c r="AG64" s="45"/>
      <c r="AH64" s="45"/>
      <c r="AI64" s="45"/>
      <c r="AJ64" s="45"/>
      <c r="AK64" s="45"/>
      <c r="AL64" s="45"/>
      <c r="AM64" s="45"/>
    </row>
    <row r="65" spans="1:39" ht="17" x14ac:dyDescent="0.3">
      <c r="A65" s="42"/>
      <c r="B65" s="45"/>
      <c r="C65" s="57" t="s">
        <v>144</v>
      </c>
      <c r="D65" s="45"/>
      <c r="E65" s="45"/>
      <c r="F65" s="45"/>
      <c r="G65" s="45"/>
      <c r="H65" s="45"/>
      <c r="I65" s="45"/>
      <c r="J65" s="45"/>
      <c r="K65" s="45"/>
      <c r="L65" s="45"/>
      <c r="M65" s="62"/>
      <c r="N65" s="62"/>
      <c r="O65" s="62"/>
      <c r="P65" s="62"/>
      <c r="Q65" s="62"/>
      <c r="R65" s="62"/>
      <c r="S65" s="45"/>
      <c r="T65" s="57" t="s">
        <v>0</v>
      </c>
      <c r="U65" s="847">
        <f>U63/(U64+U63)</f>
        <v>0.61685823754789271</v>
      </c>
      <c r="V65" s="847"/>
      <c r="W65" s="847"/>
      <c r="X65" s="847"/>
      <c r="Y65" s="57" t="s">
        <v>145</v>
      </c>
      <c r="Z65" s="45"/>
      <c r="AA65" s="45"/>
      <c r="AB65" s="45"/>
      <c r="AC65" s="45"/>
      <c r="AD65" s="45"/>
      <c r="AE65" s="45"/>
      <c r="AF65" s="45"/>
      <c r="AG65" s="45"/>
      <c r="AH65" s="45"/>
      <c r="AI65" s="45"/>
      <c r="AJ65" s="45"/>
      <c r="AK65" s="45"/>
      <c r="AL65" s="45"/>
      <c r="AM65" s="45"/>
    </row>
    <row r="66" spans="1:39" ht="7.5" customHeight="1" x14ac:dyDescent="0.35">
      <c r="A66" s="42"/>
      <c r="B66" s="42"/>
      <c r="C66" s="42"/>
    </row>
    <row r="67" spans="1:39" x14ac:dyDescent="0.3">
      <c r="A67" s="42"/>
      <c r="B67" s="42"/>
      <c r="C67" s="361" t="s">
        <v>381</v>
      </c>
      <c r="F67" s="77"/>
      <c r="G67" s="78"/>
      <c r="H67" s="78"/>
      <c r="I67" s="78"/>
      <c r="J67" s="78"/>
      <c r="K67" s="78"/>
      <c r="L67" s="74"/>
      <c r="M67" s="74"/>
      <c r="N67" s="74"/>
      <c r="Q67" s="75"/>
      <c r="V67" s="76"/>
      <c r="W67" s="76"/>
      <c r="X67" s="76"/>
      <c r="Y67" s="74"/>
      <c r="Z67" s="74"/>
    </row>
    <row r="68" spans="1:39" s="328" customFormat="1" ht="6" customHeight="1" x14ac:dyDescent="0.3">
      <c r="A68" s="329"/>
      <c r="B68" s="329"/>
      <c r="C68" s="361"/>
      <c r="F68" s="77"/>
      <c r="G68" s="78"/>
      <c r="H68" s="78"/>
      <c r="I68" s="78"/>
      <c r="J68" s="78"/>
      <c r="K68" s="78"/>
      <c r="L68" s="74"/>
      <c r="M68" s="74"/>
      <c r="N68" s="74"/>
      <c r="Q68" s="75"/>
      <c r="V68" s="339"/>
      <c r="W68" s="339"/>
      <c r="X68" s="339"/>
      <c r="Y68" s="74"/>
      <c r="Z68" s="74"/>
    </row>
    <row r="69" spans="1:39" s="328" customFormat="1" ht="16" x14ac:dyDescent="0.3">
      <c r="A69" s="329"/>
      <c r="B69" s="329"/>
      <c r="C69" s="80" t="s">
        <v>65</v>
      </c>
      <c r="D69" s="66"/>
      <c r="E69" s="66"/>
      <c r="F69" s="66"/>
      <c r="G69" s="66"/>
      <c r="H69" s="66"/>
      <c r="I69" s="66"/>
      <c r="J69" s="66"/>
      <c r="K69" s="66"/>
      <c r="L69" s="66"/>
      <c r="M69" s="66"/>
      <c r="N69" s="66"/>
      <c r="O69" s="36"/>
      <c r="P69" s="36"/>
      <c r="Q69" s="36"/>
      <c r="R69" s="36"/>
      <c r="S69" s="36"/>
      <c r="T69" s="69" t="s">
        <v>0</v>
      </c>
      <c r="U69" s="862">
        <v>20</v>
      </c>
      <c r="V69" s="862"/>
      <c r="W69" s="862"/>
      <c r="X69" s="66" t="s">
        <v>156</v>
      </c>
      <c r="Y69" s="36"/>
      <c r="Z69" s="74"/>
    </row>
    <row r="70" spans="1:39" s="328" customFormat="1" ht="16" x14ac:dyDescent="0.3">
      <c r="A70" s="329"/>
      <c r="B70" s="329"/>
      <c r="C70" s="80" t="s">
        <v>66</v>
      </c>
      <c r="D70" s="66"/>
      <c r="E70" s="66"/>
      <c r="F70" s="68"/>
      <c r="G70" s="36"/>
      <c r="H70" s="64"/>
      <c r="I70" s="64"/>
      <c r="J70" s="36"/>
      <c r="K70" s="36"/>
      <c r="L70" s="80"/>
      <c r="M70" s="64"/>
      <c r="N70" s="64"/>
      <c r="O70" s="64"/>
      <c r="P70" s="64"/>
      <c r="Q70" s="64"/>
      <c r="R70" s="64"/>
      <c r="S70" s="64"/>
      <c r="T70" s="69" t="s">
        <v>0</v>
      </c>
      <c r="U70" s="862">
        <f>U69</f>
        <v>20</v>
      </c>
      <c r="V70" s="862"/>
      <c r="W70" s="862"/>
      <c r="X70" s="389" t="s">
        <v>156</v>
      </c>
      <c r="Y70" s="66"/>
      <c r="Z70" s="66"/>
    </row>
    <row r="71" spans="1:39" s="328" customFormat="1" ht="16" x14ac:dyDescent="0.3">
      <c r="A71" s="329"/>
      <c r="B71" s="329"/>
      <c r="C71" s="80" t="s">
        <v>176</v>
      </c>
      <c r="D71" s="66"/>
      <c r="E71" s="66"/>
      <c r="F71" s="42"/>
      <c r="G71" s="36"/>
      <c r="H71" s="80"/>
      <c r="I71" s="80"/>
      <c r="J71" s="80"/>
      <c r="K71" s="80"/>
      <c r="L71" s="80"/>
      <c r="M71" s="80"/>
      <c r="N71" s="80"/>
      <c r="O71" s="80"/>
      <c r="P71" s="80"/>
      <c r="Q71" s="80"/>
      <c r="R71" s="80"/>
      <c r="S71" s="80"/>
      <c r="T71" s="81" t="s">
        <v>0</v>
      </c>
      <c r="U71" s="882">
        <v>25</v>
      </c>
      <c r="V71" s="882"/>
      <c r="W71" s="882"/>
      <c r="X71" s="389" t="s">
        <v>156</v>
      </c>
      <c r="Y71" s="74"/>
      <c r="Z71" s="66"/>
    </row>
    <row r="72" spans="1:39" s="328" customFormat="1" x14ac:dyDescent="0.3">
      <c r="A72" s="329"/>
      <c r="B72" s="329"/>
      <c r="C72" s="68" t="s">
        <v>547</v>
      </c>
      <c r="D72" s="66"/>
      <c r="E72" s="66"/>
      <c r="F72" s="36"/>
      <c r="G72" s="68"/>
      <c r="H72" s="68"/>
      <c r="I72" s="68"/>
      <c r="J72" s="68"/>
      <c r="K72" s="68"/>
      <c r="L72" s="68"/>
      <c r="M72" s="68"/>
      <c r="N72" s="68"/>
      <c r="O72" s="68"/>
      <c r="P72" s="68"/>
      <c r="Q72" s="68"/>
      <c r="R72" s="68"/>
      <c r="S72" s="68"/>
      <c r="T72" s="68" t="s">
        <v>0</v>
      </c>
      <c r="U72" s="884">
        <f>TAN(RADIANS(U36))</f>
        <v>0.57735026918962573</v>
      </c>
      <c r="V72" s="884"/>
      <c r="W72" s="884"/>
      <c r="X72" s="36"/>
      <c r="Y72" s="36"/>
      <c r="Z72" s="36"/>
    </row>
    <row r="73" spans="1:39" s="328" customFormat="1" x14ac:dyDescent="0.3">
      <c r="A73" s="329"/>
      <c r="B73" s="329"/>
      <c r="C73" s="80" t="s">
        <v>16</v>
      </c>
      <c r="D73" s="66"/>
      <c r="E73" s="66"/>
      <c r="F73" s="42"/>
      <c r="G73" s="36"/>
      <c r="H73" s="36"/>
      <c r="I73" s="36"/>
      <c r="J73" s="36"/>
      <c r="K73" s="36"/>
      <c r="L73" s="36"/>
      <c r="M73" s="36"/>
      <c r="N73" s="36"/>
      <c r="O73" s="36"/>
      <c r="P73" s="36"/>
      <c r="Q73" s="36"/>
      <c r="R73" s="36"/>
      <c r="S73" s="36"/>
      <c r="T73" s="36"/>
      <c r="U73" s="36"/>
      <c r="V73" s="36"/>
      <c r="W73" s="36"/>
      <c r="X73" s="36"/>
      <c r="Y73" s="36"/>
      <c r="Z73" s="36"/>
    </row>
    <row r="74" spans="1:39" s="328" customFormat="1" ht="15.75" customHeight="1" x14ac:dyDescent="0.3">
      <c r="A74" s="329"/>
      <c r="B74" s="329"/>
      <c r="C74" s="359" t="s">
        <v>77</v>
      </c>
      <c r="D74" s="66"/>
      <c r="E74" s="66"/>
      <c r="F74" s="36"/>
      <c r="G74" s="36"/>
      <c r="H74" s="36"/>
      <c r="I74" s="36"/>
      <c r="J74" s="36"/>
      <c r="K74" s="36"/>
      <c r="L74" s="36"/>
      <c r="M74" s="36"/>
      <c r="N74" s="36"/>
      <c r="O74" s="36"/>
      <c r="P74" s="36"/>
      <c r="Q74" s="36"/>
      <c r="R74" s="36"/>
      <c r="S74" s="36"/>
      <c r="T74" s="81" t="s">
        <v>0</v>
      </c>
      <c r="U74" s="883">
        <v>200</v>
      </c>
      <c r="V74" s="883"/>
      <c r="W74" s="883"/>
      <c r="X74" s="389" t="s">
        <v>157</v>
      </c>
      <c r="Y74" s="74"/>
      <c r="Z74" s="74"/>
    </row>
    <row r="75" spans="1:39" s="328" customFormat="1" ht="2.25" customHeight="1" x14ac:dyDescent="0.3">
      <c r="A75" s="329"/>
      <c r="B75" s="329"/>
      <c r="C75" s="359"/>
      <c r="D75" s="332"/>
      <c r="E75" s="332"/>
      <c r="T75" s="338"/>
      <c r="U75" s="341"/>
      <c r="V75" s="341"/>
      <c r="W75" s="341"/>
      <c r="X75" s="74"/>
      <c r="Y75" s="74"/>
      <c r="Z75" s="74"/>
    </row>
    <row r="76" spans="1:39" s="328" customFormat="1" x14ac:dyDescent="0.3">
      <c r="A76" s="329"/>
      <c r="B76" s="329"/>
      <c r="C76" s="80" t="s">
        <v>17</v>
      </c>
      <c r="D76" s="80"/>
      <c r="E76" s="80"/>
      <c r="F76" s="77"/>
      <c r="G76" s="78"/>
      <c r="H76" s="78"/>
      <c r="I76" s="78"/>
      <c r="J76" s="78"/>
      <c r="K76" s="78"/>
      <c r="L76" s="74"/>
      <c r="M76" s="74"/>
      <c r="N76" s="74"/>
      <c r="Q76" s="75"/>
      <c r="T76" s="81" t="s">
        <v>0</v>
      </c>
      <c r="U76" s="862">
        <v>1</v>
      </c>
      <c r="V76" s="862"/>
      <c r="W76" s="862"/>
      <c r="X76" s="339"/>
      <c r="Y76" s="74"/>
      <c r="Z76" s="560" t="s">
        <v>549</v>
      </c>
      <c r="AA76" s="561"/>
      <c r="AB76" s="561"/>
      <c r="AC76" s="561"/>
      <c r="AD76" s="561"/>
      <c r="AE76" s="561"/>
      <c r="AF76" s="561"/>
      <c r="AG76" s="561"/>
      <c r="AH76" s="561"/>
      <c r="AI76" s="561"/>
      <c r="AJ76" s="561"/>
      <c r="AK76" s="561"/>
      <c r="AL76" s="561"/>
      <c r="AM76" s="561"/>
    </row>
    <row r="77" spans="1:39" s="328" customFormat="1" x14ac:dyDescent="0.3">
      <c r="A77" s="329"/>
      <c r="B77" s="329"/>
      <c r="C77" s="80" t="s">
        <v>18</v>
      </c>
      <c r="E77" s="80"/>
      <c r="F77" s="77"/>
      <c r="G77" s="78"/>
      <c r="H77" s="78"/>
      <c r="I77" s="78"/>
      <c r="J77" s="78"/>
      <c r="K77" s="78"/>
      <c r="L77" s="74"/>
      <c r="M77" s="74"/>
      <c r="N77" s="74"/>
      <c r="Q77" s="75"/>
      <c r="T77" s="81" t="s">
        <v>0</v>
      </c>
      <c r="U77" s="862">
        <v>1</v>
      </c>
      <c r="V77" s="862"/>
      <c r="W77" s="862"/>
      <c r="X77" s="339"/>
      <c r="Y77" s="74"/>
      <c r="Z77" s="560" t="str">
        <f>Z76</f>
        <v>….As per IRC 6-2016, annex B, clause 2</v>
      </c>
    </row>
    <row r="78" spans="1:39" ht="3.75" customHeight="1" x14ac:dyDescent="0.3">
      <c r="A78" s="42"/>
      <c r="B78" s="42"/>
      <c r="C78" s="42"/>
      <c r="E78" s="80"/>
      <c r="F78" s="80"/>
      <c r="G78" s="80"/>
      <c r="H78" s="80"/>
      <c r="I78" s="80"/>
      <c r="J78" s="80"/>
      <c r="K78" s="80"/>
      <c r="L78" s="80"/>
      <c r="M78" s="80"/>
      <c r="O78" s="80"/>
      <c r="P78" s="80"/>
      <c r="Q78" s="81"/>
      <c r="R78" s="82"/>
      <c r="S78" s="82"/>
      <c r="T78" s="82"/>
      <c r="U78" s="74"/>
      <c r="V78" s="74"/>
      <c r="W78" s="74"/>
      <c r="X78" s="74"/>
      <c r="Y78" s="74"/>
      <c r="Z78" s="74"/>
      <c r="AA78" s="74"/>
      <c r="AB78" s="74"/>
      <c r="AC78" s="74"/>
      <c r="AD78" s="74"/>
      <c r="AE78" s="74"/>
    </row>
    <row r="79" spans="1:39" x14ac:dyDescent="0.3">
      <c r="A79" s="42"/>
      <c r="B79" s="42"/>
      <c r="C79" s="362" t="s">
        <v>382</v>
      </c>
      <c r="E79" s="80"/>
      <c r="F79" s="80"/>
      <c r="J79" s="80"/>
      <c r="K79" s="80"/>
      <c r="L79" s="80"/>
      <c r="M79" s="80"/>
      <c r="N79" s="80"/>
      <c r="O79" s="559" t="s">
        <v>548</v>
      </c>
      <c r="P79" s="80"/>
      <c r="U79" s="74"/>
      <c r="W79" s="83"/>
      <c r="X79" s="83"/>
      <c r="Y79" s="83"/>
      <c r="Z79" s="83"/>
      <c r="AA79" s="83"/>
      <c r="AB79" s="83"/>
      <c r="AC79" s="83"/>
      <c r="AD79" s="83"/>
    </row>
    <row r="80" spans="1:39" ht="4.5" customHeight="1" x14ac:dyDescent="0.3">
      <c r="A80" s="42"/>
      <c r="B80" s="42"/>
      <c r="C80" s="42"/>
      <c r="E80" s="80"/>
      <c r="F80" s="80"/>
      <c r="J80" s="80"/>
      <c r="K80" s="80"/>
      <c r="L80" s="80"/>
      <c r="M80" s="80"/>
      <c r="N80" s="80"/>
      <c r="O80" s="80"/>
      <c r="P80" s="80"/>
      <c r="U80" s="74"/>
      <c r="V80" s="83"/>
      <c r="W80" s="83"/>
      <c r="X80" s="83"/>
      <c r="Y80" s="83"/>
      <c r="Z80" s="83"/>
      <c r="AA80" s="83"/>
      <c r="AB80" s="83"/>
      <c r="AC80" s="83"/>
      <c r="AD80" s="83"/>
      <c r="AE80" s="83"/>
    </row>
    <row r="81" spans="1:42" x14ac:dyDescent="0.3">
      <c r="A81" s="42"/>
      <c r="B81" s="42"/>
      <c r="C81" s="74" t="s">
        <v>14</v>
      </c>
      <c r="D81" s="74"/>
      <c r="E81" s="75" t="s">
        <v>0</v>
      </c>
      <c r="F81" s="862">
        <v>75</v>
      </c>
      <c r="G81" s="862"/>
      <c r="H81" s="862"/>
      <c r="I81" s="74" t="s">
        <v>2</v>
      </c>
      <c r="J81" s="80"/>
      <c r="K81" s="80" t="s">
        <v>526</v>
      </c>
      <c r="L81" s="80"/>
      <c r="M81" s="80"/>
      <c r="N81" s="80"/>
      <c r="O81" s="80"/>
      <c r="P81" s="80"/>
      <c r="Q81" s="81"/>
      <c r="R81" s="76"/>
      <c r="S81" s="76"/>
      <c r="T81" s="76"/>
      <c r="U81" s="74"/>
      <c r="V81" s="84"/>
      <c r="W81" s="84"/>
      <c r="X81" s="84"/>
      <c r="Y81" s="84"/>
      <c r="Z81" s="84"/>
      <c r="AA81" s="84"/>
      <c r="AB81" s="84"/>
      <c r="AC81" s="84"/>
      <c r="AD81" s="84"/>
      <c r="AE81" s="84"/>
    </row>
    <row r="82" spans="1:42" x14ac:dyDescent="0.3">
      <c r="A82" s="42"/>
      <c r="B82" s="42"/>
      <c r="C82" s="74" t="s">
        <v>14</v>
      </c>
      <c r="D82" s="74"/>
      <c r="E82" s="75" t="s">
        <v>0</v>
      </c>
      <c r="F82" s="862">
        <v>50</v>
      </c>
      <c r="G82" s="862"/>
      <c r="H82" s="862"/>
      <c r="I82" s="74" t="s">
        <v>2</v>
      </c>
      <c r="J82" s="80"/>
      <c r="K82" s="80" t="s">
        <v>527</v>
      </c>
      <c r="L82" s="80"/>
      <c r="M82" s="80"/>
      <c r="N82" s="80"/>
      <c r="O82" s="80"/>
      <c r="V82" s="84"/>
      <c r="W82" s="84"/>
      <c r="X82" s="84"/>
      <c r="Y82" s="84"/>
      <c r="Z82" s="84"/>
      <c r="AA82" s="84"/>
      <c r="AB82" s="84"/>
      <c r="AC82" s="84"/>
      <c r="AD82" s="84"/>
      <c r="AE82" s="84"/>
    </row>
    <row r="83" spans="1:42" x14ac:dyDescent="0.3">
      <c r="A83" s="42"/>
      <c r="B83" s="42"/>
      <c r="C83" s="74" t="s">
        <v>15</v>
      </c>
      <c r="D83" s="74"/>
      <c r="E83" s="75" t="s">
        <v>0</v>
      </c>
      <c r="F83" s="862">
        <v>75</v>
      </c>
      <c r="G83" s="862"/>
      <c r="H83" s="862"/>
      <c r="I83" s="74" t="s">
        <v>2</v>
      </c>
      <c r="J83" s="80"/>
      <c r="K83" s="80"/>
      <c r="L83" s="80"/>
      <c r="M83" s="80"/>
      <c r="N83" s="80"/>
      <c r="V83" s="84"/>
      <c r="W83" s="84"/>
      <c r="X83" s="84"/>
      <c r="Y83" s="84"/>
      <c r="Z83" s="84"/>
      <c r="AA83" s="84"/>
      <c r="AB83" s="84"/>
      <c r="AC83" s="84"/>
      <c r="AD83" s="84"/>
      <c r="AE83" s="84"/>
    </row>
    <row r="84" spans="1:42" ht="5.25" customHeight="1" x14ac:dyDescent="0.3">
      <c r="A84" s="42"/>
      <c r="B84" s="42"/>
      <c r="C84" s="42"/>
      <c r="E84" s="80"/>
      <c r="F84" s="80"/>
      <c r="G84" s="80"/>
      <c r="H84" s="80"/>
      <c r="I84" s="80"/>
      <c r="J84" s="80"/>
      <c r="K84" s="80"/>
      <c r="L84" s="80"/>
      <c r="M84" s="80"/>
      <c r="N84" s="80"/>
      <c r="O84" s="74"/>
      <c r="P84" s="74"/>
      <c r="Q84" s="75"/>
      <c r="R84" s="76"/>
      <c r="S84" s="76"/>
      <c r="T84" s="76"/>
      <c r="U84" s="74"/>
      <c r="V84" s="84"/>
      <c r="W84" s="84"/>
      <c r="X84" s="84"/>
      <c r="Y84" s="84"/>
      <c r="Z84" s="84"/>
      <c r="AA84" s="84"/>
      <c r="AB84" s="84"/>
      <c r="AC84" s="84"/>
      <c r="AD84" s="84"/>
      <c r="AE84" s="84"/>
    </row>
    <row r="85" spans="1:42" x14ac:dyDescent="0.35">
      <c r="A85" s="42"/>
      <c r="B85" s="72">
        <v>2</v>
      </c>
      <c r="C85" s="233" t="s">
        <v>19</v>
      </c>
      <c r="E85" s="158"/>
      <c r="F85" s="158"/>
      <c r="G85" s="158"/>
      <c r="H85" s="158"/>
      <c r="J85" s="158"/>
      <c r="K85" s="158"/>
      <c r="L85" s="158"/>
      <c r="M85" s="158"/>
      <c r="N85" s="158"/>
      <c r="O85" s="158"/>
      <c r="P85" s="158"/>
      <c r="Q85" s="158"/>
      <c r="R85" s="158"/>
    </row>
    <row r="86" spans="1:42" ht="3.75" customHeight="1" x14ac:dyDescent="0.35">
      <c r="A86" s="42"/>
      <c r="B86" s="72"/>
      <c r="C86" s="42"/>
      <c r="I86" s="73"/>
    </row>
    <row r="87" spans="1:42" ht="15" customHeight="1" x14ac:dyDescent="0.35">
      <c r="A87" s="42"/>
      <c r="B87" s="42"/>
      <c r="C87" s="169" t="s">
        <v>20</v>
      </c>
      <c r="F87" s="169"/>
      <c r="G87" s="169"/>
      <c r="H87" s="169"/>
      <c r="I87" s="169"/>
      <c r="J87" s="169"/>
      <c r="K87" s="169"/>
      <c r="L87" s="169"/>
      <c r="M87" s="169"/>
      <c r="N87" s="169"/>
      <c r="O87" s="169"/>
      <c r="P87" s="169"/>
      <c r="Q87" s="169"/>
      <c r="R87" s="169"/>
    </row>
    <row r="88" spans="1:42" x14ac:dyDescent="0.35">
      <c r="A88" s="42"/>
      <c r="B88" s="42"/>
      <c r="C88" s="42"/>
      <c r="E88" s="169"/>
      <c r="F88" s="169"/>
      <c r="G88" s="169"/>
      <c r="H88" s="169"/>
      <c r="I88" s="169"/>
      <c r="J88" s="169"/>
      <c r="K88" s="169"/>
      <c r="L88" s="169"/>
      <c r="M88" s="169"/>
      <c r="N88" s="169"/>
      <c r="O88" s="169"/>
      <c r="P88" s="169"/>
      <c r="Q88" s="169"/>
      <c r="R88" s="169"/>
    </row>
    <row r="89" spans="1:42" x14ac:dyDescent="0.35">
      <c r="A89" s="42"/>
      <c r="B89" s="42"/>
      <c r="C89" s="42"/>
    </row>
    <row r="90" spans="1:42" x14ac:dyDescent="0.35">
      <c r="A90" s="42"/>
      <c r="B90" s="42"/>
      <c r="C90" s="42"/>
      <c r="E90" s="36" t="s">
        <v>0</v>
      </c>
      <c r="H90" s="849">
        <f>U74</f>
        <v>200</v>
      </c>
      <c r="I90" s="695"/>
      <c r="J90" s="695" t="s">
        <v>21</v>
      </c>
      <c r="K90" s="747" t="s">
        <v>22</v>
      </c>
      <c r="L90" s="87">
        <v>1</v>
      </c>
      <c r="M90" s="87" t="s">
        <v>23</v>
      </c>
      <c r="N90" s="672" t="s">
        <v>24</v>
      </c>
      <c r="O90" s="672"/>
      <c r="P90" s="672">
        <f>U23</f>
        <v>30</v>
      </c>
      <c r="Q90" s="672"/>
      <c r="R90" s="747" t="s">
        <v>26</v>
      </c>
      <c r="S90" s="450">
        <v>2</v>
      </c>
    </row>
    <row r="91" spans="1:42" x14ac:dyDescent="0.35">
      <c r="A91" s="42"/>
      <c r="B91" s="42"/>
      <c r="C91" s="42"/>
      <c r="H91" s="670">
        <f>U69</f>
        <v>20</v>
      </c>
      <c r="I91" s="670"/>
      <c r="J91" s="695"/>
      <c r="K91" s="747"/>
      <c r="L91" s="42">
        <v>1</v>
      </c>
      <c r="M91" s="42" t="s">
        <v>25</v>
      </c>
      <c r="N91" s="704" t="s">
        <v>24</v>
      </c>
      <c r="O91" s="704"/>
      <c r="P91" s="704">
        <f>U23</f>
        <v>30</v>
      </c>
      <c r="Q91" s="704"/>
      <c r="R91" s="747"/>
    </row>
    <row r="92" spans="1:42" x14ac:dyDescent="0.35">
      <c r="A92" s="42"/>
      <c r="B92" s="42"/>
      <c r="C92" s="42"/>
      <c r="E92" s="42" t="s">
        <v>0</v>
      </c>
      <c r="H92" s="693">
        <f>H90/H91</f>
        <v>10</v>
      </c>
      <c r="I92" s="693"/>
      <c r="J92" s="695" t="s">
        <v>21</v>
      </c>
      <c r="K92" s="747" t="s">
        <v>22</v>
      </c>
      <c r="L92" s="708">
        <f>1-SIN(RADIANS(P90))</f>
        <v>0.5</v>
      </c>
      <c r="M92" s="708"/>
      <c r="N92" s="708"/>
      <c r="O92" s="708"/>
      <c r="P92" s="708"/>
      <c r="Q92" s="708"/>
      <c r="R92" s="747" t="s">
        <v>26</v>
      </c>
      <c r="S92" s="450">
        <v>2</v>
      </c>
    </row>
    <row r="93" spans="1:42" x14ac:dyDescent="0.35">
      <c r="A93" s="42"/>
      <c r="B93" s="42"/>
      <c r="C93" s="42"/>
      <c r="H93" s="693"/>
      <c r="I93" s="693"/>
      <c r="J93" s="695"/>
      <c r="K93" s="747"/>
      <c r="L93" s="716">
        <f>1+SIN(RADIANS(P91))</f>
        <v>1.5</v>
      </c>
      <c r="M93" s="716"/>
      <c r="N93" s="716"/>
      <c r="O93" s="716"/>
      <c r="P93" s="716"/>
      <c r="Q93" s="716"/>
      <c r="R93" s="747"/>
    </row>
    <row r="94" spans="1:42" x14ac:dyDescent="0.35">
      <c r="A94" s="42"/>
      <c r="B94" s="42"/>
      <c r="C94" s="42"/>
      <c r="E94" s="36" t="s">
        <v>0</v>
      </c>
      <c r="H94" s="813">
        <f>ROUNDUP((H92*((L92/L93)^2)),1)</f>
        <v>1.2000000000000002</v>
      </c>
      <c r="I94" s="813"/>
      <c r="J94" s="813"/>
      <c r="K94" s="36" t="s">
        <v>1</v>
      </c>
      <c r="U94" s="86"/>
      <c r="V94" s="86"/>
      <c r="W94" s="86"/>
      <c r="X94" s="86"/>
      <c r="Y94" s="86"/>
    </row>
    <row r="95" spans="1:42" x14ac:dyDescent="0.35">
      <c r="A95" s="42"/>
      <c r="B95" s="42"/>
      <c r="C95" s="154" t="s">
        <v>27</v>
      </c>
      <c r="E95" s="86"/>
      <c r="F95" s="86"/>
      <c r="G95" s="86"/>
      <c r="H95" s="86"/>
      <c r="I95" s="938">
        <v>1.5</v>
      </c>
      <c r="J95" s="938"/>
      <c r="K95" s="938"/>
      <c r="L95" s="36" t="s">
        <v>1</v>
      </c>
      <c r="M95" s="86" t="s">
        <v>28</v>
      </c>
      <c r="O95" s="86"/>
      <c r="P95" s="86"/>
      <c r="Q95" s="86"/>
      <c r="R95" s="86"/>
      <c r="S95" s="86"/>
      <c r="T95" s="86"/>
      <c r="U95" s="86"/>
      <c r="V95" s="86"/>
      <c r="W95" s="86"/>
      <c r="X95" s="86"/>
      <c r="Y95" s="86"/>
      <c r="Z95" s="86"/>
      <c r="AA95" s="86"/>
      <c r="AB95" s="86"/>
      <c r="AC95" s="86"/>
      <c r="AD95" s="86"/>
      <c r="AE95" s="86"/>
      <c r="AF95" s="86"/>
      <c r="AG95" s="86"/>
      <c r="AH95" s="86"/>
      <c r="AI95" s="86"/>
      <c r="AJ95" s="86"/>
      <c r="AK95" s="86"/>
      <c r="AL95" s="86"/>
      <c r="AM95" s="86"/>
      <c r="AN95" s="86"/>
      <c r="AO95" s="86"/>
      <c r="AP95" s="86"/>
    </row>
    <row r="96" spans="1:42" ht="6" customHeight="1" x14ac:dyDescent="0.35">
      <c r="A96" s="42"/>
      <c r="B96" s="42"/>
      <c r="C96" s="42"/>
    </row>
    <row r="97" spans="1:42" x14ac:dyDescent="0.3">
      <c r="A97" s="42"/>
      <c r="B97" s="42"/>
      <c r="C97" s="42"/>
      <c r="E97" s="42"/>
      <c r="F97" s="66"/>
      <c r="G97" s="74"/>
      <c r="H97" s="66"/>
      <c r="I97" s="66"/>
      <c r="J97" s="66"/>
      <c r="K97" s="66"/>
      <c r="L97" s="90"/>
      <c r="M97" s="90"/>
      <c r="N97" s="90"/>
      <c r="O97" s="66"/>
      <c r="P97" s="66"/>
      <c r="Q97" s="66"/>
      <c r="R97" s="66"/>
      <c r="S97" s="66"/>
      <c r="T97" s="91"/>
      <c r="U97" s="69"/>
      <c r="V97" s="69"/>
      <c r="W97" s="69"/>
      <c r="X97" s="92"/>
      <c r="Y97" s="69"/>
      <c r="Z97" s="69"/>
      <c r="AA97" s="69"/>
      <c r="AB97" s="547" t="s">
        <v>545</v>
      </c>
      <c r="AD97" s="66"/>
      <c r="AE97" s="66"/>
      <c r="AF97" s="66"/>
      <c r="AG97" s="66"/>
      <c r="AH97" s="66"/>
      <c r="AI97" s="66"/>
      <c r="AJ97" s="66"/>
      <c r="AK97" s="66"/>
      <c r="AL97" s="66"/>
      <c r="AM97" s="66"/>
      <c r="AN97" s="66"/>
      <c r="AO97" s="66"/>
    </row>
    <row r="98" spans="1:42" x14ac:dyDescent="0.3">
      <c r="A98" s="42"/>
      <c r="B98" s="42"/>
      <c r="C98" s="42"/>
      <c r="E98" s="42"/>
      <c r="F98" s="66"/>
      <c r="G98" s="93"/>
      <c r="H98" s="94"/>
      <c r="I98" s="94"/>
      <c r="J98" s="66"/>
      <c r="K98" s="66"/>
      <c r="L98" s="90"/>
      <c r="M98" s="90"/>
      <c r="N98" s="90"/>
      <c r="O98" s="66"/>
      <c r="P98" s="66"/>
      <c r="Q98" s="66"/>
      <c r="R98" s="66"/>
      <c r="S98" s="66"/>
      <c r="T98" s="939">
        <f>U16</f>
        <v>0.3</v>
      </c>
      <c r="U98" s="939"/>
      <c r="V98" s="939"/>
      <c r="Z98" s="141" t="s">
        <v>30</v>
      </c>
      <c r="AA98" s="69" t="s">
        <v>0</v>
      </c>
      <c r="AB98" s="875">
        <f>U25</f>
        <v>0</v>
      </c>
      <c r="AC98" s="875"/>
      <c r="AD98" s="66"/>
      <c r="AE98" s="66"/>
      <c r="AF98" s="66"/>
      <c r="AG98" s="66"/>
      <c r="AH98" s="66"/>
      <c r="AI98" s="66"/>
      <c r="AJ98" s="66"/>
      <c r="AK98" s="66"/>
      <c r="AL98" s="66"/>
      <c r="AM98" s="66"/>
      <c r="AN98" s="66"/>
      <c r="AO98" s="66"/>
    </row>
    <row r="99" spans="1:42" x14ac:dyDescent="0.3">
      <c r="A99" s="42"/>
      <c r="B99" s="42"/>
      <c r="C99" s="42"/>
      <c r="E99" s="42"/>
      <c r="F99" s="66"/>
      <c r="G99" s="867"/>
      <c r="H99" s="867"/>
      <c r="I99" s="867"/>
      <c r="J99" s="66"/>
      <c r="K99" s="66"/>
      <c r="L99" s="90"/>
      <c r="M99" s="90"/>
      <c r="N99" s="90"/>
      <c r="O99" s="66"/>
      <c r="P99" s="66"/>
      <c r="Q99" s="66"/>
      <c r="R99" s="66"/>
      <c r="S99" s="66"/>
      <c r="T99" s="91"/>
      <c r="U99" s="69"/>
      <c r="V99" s="69"/>
      <c r="W99" s="69"/>
      <c r="X99" s="66"/>
      <c r="Y99" s="69"/>
      <c r="Z99" s="69"/>
      <c r="AA99" s="69"/>
      <c r="AB99" s="66"/>
      <c r="AC99" s="66"/>
      <c r="AD99" s="66"/>
      <c r="AE99" s="66"/>
      <c r="AF99" s="66"/>
      <c r="AG99" s="474"/>
      <c r="AH99" s="474"/>
      <c r="AI99" s="474"/>
      <c r="AJ99" s="291"/>
      <c r="AK99" s="66"/>
      <c r="AL99" s="66"/>
      <c r="AM99" s="66"/>
      <c r="AN99" s="66"/>
      <c r="AO99" s="66"/>
    </row>
    <row r="100" spans="1:42" x14ac:dyDescent="0.3">
      <c r="A100" s="42"/>
      <c r="B100" s="42"/>
      <c r="C100" s="42"/>
      <c r="E100" s="42"/>
      <c r="F100" s="66"/>
      <c r="G100" s="74"/>
      <c r="H100" s="66"/>
      <c r="I100" s="66"/>
      <c r="J100" s="66"/>
      <c r="K100" s="66"/>
      <c r="L100" s="90"/>
      <c r="M100" s="90"/>
      <c r="N100" s="90"/>
      <c r="O100" s="66"/>
      <c r="P100" s="66"/>
      <c r="Q100" s="66"/>
      <c r="R100" s="66"/>
      <c r="S100" s="66"/>
      <c r="T100" s="91"/>
      <c r="U100" s="69"/>
      <c r="V100" s="869" t="s">
        <v>492</v>
      </c>
      <c r="W100" s="870"/>
      <c r="X100" s="870"/>
      <c r="Y100" s="69"/>
      <c r="Z100" s="69"/>
      <c r="AA100" s="69"/>
      <c r="AB100" s="66"/>
      <c r="AC100" s="66"/>
      <c r="AD100" s="66"/>
      <c r="AE100" s="66"/>
      <c r="AF100" s="66"/>
      <c r="AG100" s="66"/>
      <c r="AH100" s="66"/>
      <c r="AI100" s="66"/>
      <c r="AJ100" s="66"/>
      <c r="AK100" s="66"/>
      <c r="AL100" s="66"/>
      <c r="AM100" s="66"/>
      <c r="AN100" s="66"/>
      <c r="AO100" s="66"/>
    </row>
    <row r="101" spans="1:42" x14ac:dyDescent="0.3">
      <c r="A101" s="42"/>
      <c r="B101" s="42"/>
      <c r="C101" s="42"/>
      <c r="E101" s="42"/>
      <c r="F101" s="66"/>
      <c r="G101" s="74"/>
      <c r="H101" s="66"/>
      <c r="I101" s="66"/>
      <c r="J101" s="66"/>
      <c r="K101" s="66"/>
      <c r="L101" s="90"/>
      <c r="M101" s="90"/>
      <c r="N101" s="90"/>
      <c r="O101" s="66"/>
      <c r="P101" s="66"/>
      <c r="Q101" s="66"/>
      <c r="R101" s="66"/>
      <c r="S101" s="66"/>
      <c r="T101" s="91"/>
      <c r="U101" s="69"/>
      <c r="V101" s="69"/>
      <c r="W101" s="69"/>
      <c r="X101" s="92"/>
      <c r="Y101" s="97"/>
      <c r="Z101" s="97"/>
      <c r="AA101" s="69"/>
      <c r="AB101" s="66"/>
      <c r="AC101" s="66"/>
      <c r="AD101" s="66"/>
      <c r="AE101" s="66"/>
      <c r="AF101" s="66"/>
      <c r="AG101" s="66"/>
      <c r="AH101" s="66"/>
      <c r="AI101" s="66"/>
      <c r="AJ101" s="66"/>
      <c r="AK101" s="66"/>
      <c r="AL101" s="66"/>
      <c r="AM101" s="66"/>
      <c r="AN101" s="66"/>
      <c r="AO101" s="66"/>
    </row>
    <row r="102" spans="1:42" x14ac:dyDescent="0.3">
      <c r="A102" s="42"/>
      <c r="B102" s="42"/>
      <c r="C102" s="42"/>
      <c r="E102" s="42"/>
      <c r="F102" s="66"/>
      <c r="G102" s="66"/>
      <c r="H102" s="66"/>
      <c r="I102" s="66"/>
      <c r="J102" s="66"/>
      <c r="K102" s="66"/>
      <c r="L102" s="90"/>
      <c r="M102" s="874">
        <f>(G104+G110)-J110</f>
        <v>2.5</v>
      </c>
      <c r="N102" s="874"/>
      <c r="O102" s="874"/>
      <c r="P102" s="66"/>
      <c r="Q102" s="66"/>
      <c r="R102" s="66"/>
      <c r="S102" s="66"/>
      <c r="T102" s="91"/>
      <c r="U102" s="69"/>
      <c r="V102" s="69"/>
      <c r="W102" s="69"/>
      <c r="X102" s="92"/>
      <c r="Y102" s="69"/>
      <c r="Z102" s="69"/>
      <c r="AA102" s="69"/>
      <c r="AB102" s="66"/>
      <c r="AC102" s="66"/>
      <c r="AD102" s="66"/>
      <c r="AE102" s="66"/>
      <c r="AF102" s="66"/>
      <c r="AG102" s="66"/>
      <c r="AH102" s="66"/>
      <c r="AI102" s="66"/>
      <c r="AJ102" s="66"/>
      <c r="AK102" s="66"/>
      <c r="AL102" s="66"/>
      <c r="AM102" s="66"/>
      <c r="AN102" s="66"/>
      <c r="AO102" s="66"/>
    </row>
    <row r="103" spans="1:42" x14ac:dyDescent="0.3">
      <c r="A103" s="42"/>
      <c r="B103" s="42"/>
      <c r="C103" s="42"/>
      <c r="E103" s="42"/>
      <c r="F103" s="66"/>
      <c r="G103" s="74"/>
      <c r="H103" s="66"/>
      <c r="I103" s="66"/>
      <c r="J103" s="66"/>
      <c r="K103" s="66"/>
      <c r="L103" s="90"/>
      <c r="M103" s="90"/>
      <c r="N103" s="90"/>
      <c r="O103" s="66"/>
      <c r="P103" s="66"/>
      <c r="Q103" s="66"/>
      <c r="R103" s="66"/>
      <c r="S103" s="66"/>
      <c r="T103" s="91"/>
      <c r="V103" s="69"/>
      <c r="W103" s="95" t="s">
        <v>14</v>
      </c>
      <c r="X103" s="92"/>
      <c r="Y103" s="69"/>
      <c r="Z103" s="69"/>
      <c r="AA103" s="874">
        <f>IF(AB98=0,G104,(G104+Z113*TAN(RADIANS(AB98))))</f>
        <v>3.45</v>
      </c>
      <c r="AB103" s="874"/>
      <c r="AC103" s="874"/>
      <c r="AD103" s="66"/>
      <c r="AE103" s="66"/>
      <c r="AF103" s="66"/>
      <c r="AG103" s="66"/>
      <c r="AH103" s="66"/>
      <c r="AI103" s="66"/>
      <c r="AJ103" s="66"/>
      <c r="AK103" s="66"/>
      <c r="AL103" s="66"/>
      <c r="AM103" s="66"/>
      <c r="AN103" s="66"/>
      <c r="AO103" s="66"/>
    </row>
    <row r="104" spans="1:42" x14ac:dyDescent="0.3">
      <c r="A104" s="42"/>
      <c r="B104" s="42"/>
      <c r="C104" s="42"/>
      <c r="E104" s="42" t="s">
        <v>68</v>
      </c>
      <c r="F104" s="66"/>
      <c r="G104" s="728">
        <f>U11</f>
        <v>3.45</v>
      </c>
      <c r="H104" s="728"/>
      <c r="I104" s="728"/>
      <c r="J104" s="728"/>
      <c r="K104" s="66"/>
      <c r="L104" s="90"/>
      <c r="M104" s="90"/>
      <c r="N104" s="90"/>
      <c r="O104" s="66"/>
      <c r="P104" s="66"/>
      <c r="Q104" s="66"/>
      <c r="R104" s="66"/>
      <c r="S104" s="66"/>
      <c r="T104" s="91"/>
      <c r="U104" s="69"/>
      <c r="V104" s="69"/>
      <c r="W104" s="69"/>
      <c r="X104" s="92"/>
      <c r="Y104" s="69"/>
      <c r="Z104" s="69"/>
      <c r="AA104" s="69"/>
      <c r="AB104" s="66"/>
      <c r="AC104" s="66"/>
      <c r="AD104" s="66"/>
      <c r="AE104" s="66"/>
      <c r="AF104" s="66"/>
      <c r="AG104" s="66"/>
      <c r="AH104" s="66"/>
      <c r="AI104" s="66"/>
      <c r="AJ104" s="66"/>
      <c r="AK104" s="66"/>
      <c r="AL104" s="66"/>
      <c r="AM104" s="66"/>
      <c r="AN104" s="66"/>
      <c r="AO104" s="66"/>
    </row>
    <row r="105" spans="1:42" x14ac:dyDescent="0.3">
      <c r="A105" s="42"/>
      <c r="B105" s="42"/>
      <c r="C105" s="42"/>
      <c r="E105" s="42"/>
      <c r="F105" s="66"/>
      <c r="G105" s="74"/>
      <c r="H105" s="66"/>
      <c r="I105" s="66"/>
      <c r="J105" s="66"/>
      <c r="K105" s="66"/>
      <c r="L105" s="90"/>
      <c r="M105" s="90"/>
      <c r="N105" s="90"/>
      <c r="O105" s="66"/>
      <c r="P105" s="66"/>
      <c r="Q105" s="66"/>
      <c r="R105" s="66"/>
      <c r="S105" s="66"/>
      <c r="T105" s="91"/>
      <c r="U105" s="69"/>
      <c r="V105" s="69"/>
      <c r="W105" s="69"/>
      <c r="X105" s="92"/>
      <c r="Y105" s="69"/>
      <c r="Z105" s="69"/>
      <c r="AA105" s="69"/>
      <c r="AB105" s="66"/>
      <c r="AC105" s="66"/>
      <c r="AD105" s="66"/>
      <c r="AE105" s="66"/>
      <c r="AF105" s="66"/>
      <c r="AG105" s="66"/>
      <c r="AH105" s="66"/>
      <c r="AI105" s="66"/>
      <c r="AJ105" s="66" t="s">
        <v>174</v>
      </c>
      <c r="AK105" s="66"/>
      <c r="AL105" s="66"/>
      <c r="AM105" s="66"/>
      <c r="AN105" s="66"/>
      <c r="AO105" s="66"/>
    </row>
    <row r="106" spans="1:42" x14ac:dyDescent="0.3">
      <c r="A106" s="42"/>
      <c r="B106" s="42"/>
      <c r="C106" s="42"/>
      <c r="E106" s="42"/>
      <c r="F106" s="66"/>
      <c r="G106" s="74"/>
      <c r="H106" s="66"/>
      <c r="I106" s="66"/>
      <c r="J106" s="94"/>
      <c r="K106" s="94" t="s">
        <v>384</v>
      </c>
      <c r="L106" s="96"/>
      <c r="M106" s="96"/>
      <c r="N106" s="96"/>
      <c r="O106" s="94"/>
      <c r="P106" s="94"/>
      <c r="Q106" s="94"/>
      <c r="R106" s="94"/>
      <c r="S106" s="66"/>
      <c r="T106" s="908" t="s">
        <v>4</v>
      </c>
      <c r="U106" s="908"/>
      <c r="V106" s="97"/>
      <c r="Y106" s="908" t="s">
        <v>442</v>
      </c>
      <c r="Z106" s="908"/>
      <c r="AA106" s="69"/>
      <c r="AB106" s="66"/>
      <c r="AC106" s="66"/>
      <c r="AD106" s="66"/>
      <c r="AE106" s="66"/>
      <c r="AF106" s="66"/>
      <c r="AG106" s="66"/>
      <c r="AH106" s="66"/>
      <c r="AI106" s="66"/>
      <c r="AJ106" s="66"/>
      <c r="AK106" s="66"/>
      <c r="AL106" s="66"/>
      <c r="AM106" s="66"/>
      <c r="AN106" s="66"/>
      <c r="AO106" s="66"/>
    </row>
    <row r="107" spans="1:42" x14ac:dyDescent="0.3">
      <c r="A107" s="42"/>
      <c r="B107" s="42"/>
      <c r="C107" s="42"/>
      <c r="E107" s="42"/>
      <c r="F107" s="66"/>
      <c r="G107" s="74"/>
      <c r="H107" s="66"/>
      <c r="I107" s="66"/>
      <c r="J107" s="66"/>
      <c r="K107" s="66"/>
      <c r="L107" s="90"/>
      <c r="M107" s="90"/>
      <c r="N107" s="90"/>
      <c r="O107" s="66"/>
      <c r="P107" s="66"/>
      <c r="Q107" s="66"/>
      <c r="R107" s="66"/>
      <c r="S107" s="66"/>
      <c r="T107" s="91"/>
      <c r="U107" s="69"/>
      <c r="V107" s="69"/>
      <c r="W107" s="69"/>
      <c r="X107" s="92"/>
      <c r="Y107" s="69"/>
      <c r="Z107" s="69"/>
      <c r="AA107" s="69"/>
      <c r="AB107" s="66"/>
      <c r="AC107" s="66"/>
      <c r="AD107" s="66"/>
      <c r="AE107" s="66"/>
      <c r="AF107" s="66"/>
      <c r="AG107" s="66"/>
      <c r="AH107" s="66"/>
      <c r="AI107" s="66"/>
      <c r="AJ107" s="66"/>
      <c r="AK107" s="66"/>
      <c r="AL107" s="66"/>
      <c r="AM107" s="66"/>
      <c r="AN107" s="66"/>
      <c r="AO107" s="66"/>
    </row>
    <row r="108" spans="1:42" x14ac:dyDescent="0.3">
      <c r="A108" s="42"/>
      <c r="B108" s="42"/>
      <c r="C108" s="42"/>
      <c r="E108" s="42"/>
      <c r="F108" s="66"/>
      <c r="G108" s="74"/>
      <c r="H108" s="66"/>
      <c r="I108" s="66"/>
      <c r="J108" s="64"/>
      <c r="K108" s="64"/>
      <c r="L108" s="69"/>
      <c r="M108" s="69"/>
      <c r="N108" s="69"/>
      <c r="O108" s="64"/>
      <c r="P108" s="908" t="s">
        <v>546</v>
      </c>
      <c r="Q108" s="908"/>
      <c r="R108" s="66"/>
      <c r="S108" s="66"/>
      <c r="T108" s="91"/>
      <c r="U108" s="69"/>
      <c r="V108" s="69"/>
      <c r="Z108" s="69"/>
      <c r="AA108" s="69"/>
      <c r="AB108" s="66"/>
      <c r="AC108" s="66"/>
      <c r="AD108" s="66"/>
      <c r="AE108" s="66"/>
      <c r="AF108" s="66"/>
      <c r="AG108" s="66"/>
      <c r="AH108" s="66"/>
      <c r="AI108" s="66"/>
      <c r="AJ108" s="66"/>
      <c r="AK108" s="66"/>
      <c r="AL108" s="66"/>
      <c r="AM108" s="66"/>
      <c r="AN108" s="66"/>
      <c r="AO108" s="66"/>
    </row>
    <row r="109" spans="1:42" x14ac:dyDescent="0.3">
      <c r="A109" s="42"/>
      <c r="B109" s="42"/>
      <c r="C109" s="42"/>
      <c r="E109" s="42"/>
      <c r="F109" s="66"/>
      <c r="G109" s="74"/>
      <c r="H109" s="66"/>
      <c r="I109" s="66"/>
      <c r="J109" s="66"/>
      <c r="K109" s="66"/>
      <c r="L109" s="90"/>
      <c r="M109" s="90"/>
      <c r="N109" s="90"/>
      <c r="O109" s="66"/>
      <c r="T109" s="661" t="s">
        <v>436</v>
      </c>
      <c r="U109" s="662"/>
      <c r="V109" s="662"/>
      <c r="W109" s="662"/>
      <c r="X109" s="662"/>
      <c r="Y109" s="69"/>
      <c r="Z109" s="69"/>
      <c r="AA109" s="69"/>
      <c r="AB109" s="66"/>
      <c r="AC109" s="66"/>
      <c r="AD109" s="66"/>
      <c r="AE109" s="66"/>
      <c r="AF109" s="66"/>
      <c r="AG109" s="66"/>
      <c r="AH109" s="66"/>
      <c r="AI109" s="66"/>
      <c r="AJ109" s="66"/>
      <c r="AK109" s="66"/>
      <c r="AL109" s="66"/>
      <c r="AM109" s="66"/>
      <c r="AN109" s="66"/>
      <c r="AO109" s="66"/>
    </row>
    <row r="110" spans="1:42" ht="16.5" customHeight="1" x14ac:dyDescent="0.3">
      <c r="A110" s="42"/>
      <c r="B110" s="42"/>
      <c r="C110" s="42"/>
      <c r="E110" s="42"/>
      <c r="F110" s="66"/>
      <c r="G110" s="909">
        <f>U14</f>
        <v>0.55000000000000004</v>
      </c>
      <c r="H110" s="910"/>
      <c r="I110" s="910"/>
      <c r="J110" s="864">
        <f>I95</f>
        <v>1.5</v>
      </c>
      <c r="K110" s="864"/>
      <c r="L110" s="90"/>
      <c r="M110" s="90"/>
      <c r="N110" s="868" t="s">
        <v>493</v>
      </c>
      <c r="O110" s="868"/>
      <c r="P110" s="851" t="s">
        <v>7</v>
      </c>
      <c r="Q110" s="850"/>
      <c r="R110" s="850"/>
      <c r="S110" s="850" t="s">
        <v>440</v>
      </c>
      <c r="T110" s="850"/>
      <c r="U110" s="850"/>
      <c r="V110" s="850"/>
      <c r="W110" s="850"/>
      <c r="X110" s="473" t="s">
        <v>441</v>
      </c>
      <c r="Y110" s="69"/>
      <c r="Z110" s="69"/>
      <c r="AA110" s="69"/>
      <c r="AB110" s="868" t="s">
        <v>490</v>
      </c>
      <c r="AC110" s="868"/>
      <c r="AD110" s="66"/>
      <c r="AE110" s="66"/>
      <c r="AF110" s="66"/>
      <c r="AG110" s="66"/>
      <c r="AH110" s="66"/>
      <c r="AI110" s="66"/>
      <c r="AJ110" s="66"/>
      <c r="AK110" s="66"/>
      <c r="AL110" s="66"/>
      <c r="AM110" s="66"/>
      <c r="AN110" s="66"/>
      <c r="AO110" s="66"/>
    </row>
    <row r="111" spans="1:42" ht="22.5" customHeight="1" x14ac:dyDescent="0.3">
      <c r="A111" s="42"/>
      <c r="B111" s="42"/>
      <c r="C111" s="42"/>
      <c r="E111" s="42"/>
      <c r="F111" s="66"/>
      <c r="G111" s="911"/>
      <c r="H111" s="911"/>
      <c r="I111" s="911"/>
      <c r="J111" s="98"/>
      <c r="K111" s="94"/>
      <c r="L111" s="66"/>
      <c r="M111" s="90"/>
      <c r="N111" s="839" t="s">
        <v>9</v>
      </c>
      <c r="O111" s="839"/>
      <c r="P111" s="839"/>
      <c r="Q111" s="839"/>
      <c r="R111" s="662" t="s">
        <v>6</v>
      </c>
      <c r="S111" s="662"/>
      <c r="T111" s="662"/>
      <c r="U111" s="662"/>
      <c r="V111" s="662"/>
      <c r="W111" s="662"/>
      <c r="X111" s="839" t="s">
        <v>34</v>
      </c>
      <c r="Y111" s="839"/>
      <c r="Z111" s="839"/>
      <c r="AA111" s="839"/>
      <c r="AB111" s="839"/>
      <c r="AC111" s="839"/>
      <c r="AD111" s="863">
        <f>U15</f>
        <v>0.4</v>
      </c>
      <c r="AE111" s="863"/>
      <c r="AF111" s="66"/>
      <c r="AG111" s="66"/>
      <c r="AH111" s="66"/>
      <c r="AI111" s="66"/>
      <c r="AJ111" s="66"/>
      <c r="AK111" s="66"/>
      <c r="AL111" s="852">
        <f>L131</f>
        <v>44.684457012290586</v>
      </c>
      <c r="AM111" s="852"/>
      <c r="AN111" s="852"/>
      <c r="AO111" s="291" t="s">
        <v>453</v>
      </c>
      <c r="AP111" s="448"/>
    </row>
    <row r="112" spans="1:42" ht="17" x14ac:dyDescent="0.45">
      <c r="A112" s="42"/>
      <c r="B112" s="42"/>
      <c r="C112" s="42"/>
      <c r="E112" s="42"/>
      <c r="F112" s="66"/>
      <c r="G112" s="66"/>
      <c r="H112" s="66"/>
      <c r="I112" s="66"/>
      <c r="J112" s="66"/>
      <c r="K112" s="66"/>
      <c r="L112" s="90" t="s">
        <v>35</v>
      </c>
      <c r="M112" s="90"/>
      <c r="N112" s="66"/>
      <c r="O112" s="66"/>
      <c r="P112" s="66"/>
      <c r="Q112" s="66"/>
      <c r="R112" s="66"/>
      <c r="S112" s="66"/>
      <c r="T112" s="90"/>
      <c r="U112" s="97"/>
      <c r="V112" s="97"/>
      <c r="W112" s="97"/>
      <c r="X112" s="66"/>
      <c r="Y112" s="79"/>
      <c r="Z112" s="79"/>
      <c r="AA112" s="79"/>
      <c r="AB112" s="99"/>
      <c r="AC112" s="66" t="s">
        <v>36</v>
      </c>
      <c r="AD112" s="66"/>
      <c r="AE112" s="66"/>
      <c r="AF112" s="66"/>
      <c r="AG112" s="66"/>
      <c r="AH112" s="66"/>
      <c r="AI112" s="66"/>
      <c r="AJ112" s="66"/>
      <c r="AK112" s="66"/>
      <c r="AL112" s="66"/>
      <c r="AM112" s="66"/>
      <c r="AN112" s="66"/>
      <c r="AO112" s="66"/>
    </row>
    <row r="113" spans="1:43" x14ac:dyDescent="0.3">
      <c r="A113" s="42"/>
      <c r="B113" s="42"/>
      <c r="C113" s="42"/>
      <c r="E113" s="42"/>
      <c r="F113" s="66"/>
      <c r="G113" s="66"/>
      <c r="H113" s="66"/>
      <c r="I113" s="66"/>
      <c r="J113" s="66"/>
      <c r="L113" s="209"/>
      <c r="M113" s="66"/>
      <c r="N113" s="125"/>
      <c r="P113" s="852">
        <f>U13</f>
        <v>0.7</v>
      </c>
      <c r="Q113" s="852"/>
      <c r="R113" s="852"/>
      <c r="T113" s="865">
        <f>U17</f>
        <v>0.5</v>
      </c>
      <c r="U113" s="852"/>
      <c r="V113" s="852"/>
      <c r="W113" s="124"/>
      <c r="Z113" s="940">
        <f>Q114-P113-T113</f>
        <v>2.8</v>
      </c>
      <c r="AA113" s="940"/>
      <c r="AB113" s="940"/>
      <c r="AC113" s="100"/>
      <c r="AD113" s="66"/>
      <c r="AE113" s="66"/>
      <c r="AF113" s="364" t="s">
        <v>481</v>
      </c>
      <c r="AG113" s="66"/>
      <c r="AH113" s="66"/>
      <c r="AI113" s="66"/>
      <c r="AJ113" s="66"/>
      <c r="AK113" s="66"/>
      <c r="AL113" s="66"/>
      <c r="AM113" s="66"/>
      <c r="AN113" s="66"/>
      <c r="AO113" s="66"/>
    </row>
    <row r="114" spans="1:43" ht="17" x14ac:dyDescent="0.45">
      <c r="A114" s="42"/>
      <c r="B114" s="42"/>
      <c r="C114" s="42"/>
      <c r="E114" s="42"/>
      <c r="F114" s="66"/>
      <c r="G114" s="66"/>
      <c r="H114" s="66"/>
      <c r="I114" s="66"/>
      <c r="J114" s="66"/>
      <c r="K114" s="66"/>
      <c r="L114" s="209"/>
      <c r="M114" s="90"/>
      <c r="N114" s="212"/>
      <c r="O114" s="66"/>
      <c r="P114" s="66"/>
      <c r="Q114" s="852">
        <f>U12</f>
        <v>4</v>
      </c>
      <c r="R114" s="852"/>
      <c r="S114" s="852"/>
      <c r="T114" s="852"/>
      <c r="U114" s="852"/>
      <c r="V114" s="852"/>
      <c r="W114" s="852"/>
      <c r="X114" s="852"/>
      <c r="Y114" s="852"/>
      <c r="Z114" s="79"/>
      <c r="AA114" s="79"/>
      <c r="AB114" s="99"/>
      <c r="AC114" s="100"/>
      <c r="AD114" s="66"/>
      <c r="AF114" s="66"/>
      <c r="AG114" s="66"/>
      <c r="AH114" s="66"/>
      <c r="AI114" s="66"/>
      <c r="AJ114" s="66"/>
      <c r="AK114" s="66"/>
      <c r="AL114" s="66"/>
      <c r="AM114" s="66"/>
      <c r="AN114" s="66"/>
      <c r="AO114" s="66"/>
    </row>
    <row r="115" spans="1:43" ht="15.75" customHeight="1" x14ac:dyDescent="0.45">
      <c r="A115" s="42"/>
      <c r="B115" s="42"/>
      <c r="C115" s="42"/>
      <c r="E115" s="42"/>
      <c r="F115" s="66"/>
      <c r="G115" s="66"/>
      <c r="H115" s="66"/>
      <c r="I115" s="66"/>
      <c r="J115" s="66"/>
      <c r="K115" s="66"/>
      <c r="L115" s="90"/>
      <c r="M115" s="90"/>
      <c r="N115" s="364" t="s">
        <v>480</v>
      </c>
      <c r="R115" s="66"/>
      <c r="S115" s="66"/>
      <c r="T115" s="90"/>
      <c r="U115" s="97"/>
      <c r="V115" s="97"/>
      <c r="W115" s="97"/>
      <c r="X115" s="66"/>
      <c r="Y115" s="79"/>
      <c r="Z115" s="79"/>
      <c r="AA115" s="79"/>
      <c r="AB115" s="99"/>
      <c r="AC115" s="66"/>
      <c r="AD115" s="66"/>
      <c r="AJ115" s="66"/>
      <c r="AK115" s="66"/>
      <c r="AL115" s="66"/>
      <c r="AM115" s="66"/>
      <c r="AN115" s="66"/>
      <c r="AO115" s="66"/>
    </row>
    <row r="116" spans="1:43" ht="6" customHeight="1" x14ac:dyDescent="0.45">
      <c r="A116" s="42"/>
      <c r="B116" s="42"/>
      <c r="C116" s="201"/>
      <c r="D116" s="201"/>
      <c r="E116" s="201"/>
      <c r="F116" s="66"/>
      <c r="G116" s="66"/>
      <c r="H116" s="66"/>
      <c r="I116" s="66"/>
      <c r="J116" s="66"/>
      <c r="K116" s="66"/>
      <c r="L116" s="90"/>
      <c r="M116" s="90"/>
      <c r="N116" s="90"/>
      <c r="O116" s="66"/>
      <c r="P116" s="66"/>
      <c r="Q116" s="66"/>
      <c r="R116" s="66"/>
      <c r="S116" s="66"/>
      <c r="T116" s="90"/>
      <c r="U116" s="97"/>
      <c r="V116" s="97"/>
      <c r="W116" s="97"/>
      <c r="X116" s="66"/>
      <c r="Y116" s="79"/>
      <c r="Z116" s="79"/>
      <c r="AA116" s="79"/>
      <c r="AB116" s="99"/>
      <c r="AC116" s="66"/>
      <c r="AD116" s="66"/>
      <c r="AE116" s="66"/>
      <c r="AF116" s="66"/>
      <c r="AG116" s="66"/>
      <c r="AH116" s="66"/>
      <c r="AI116" s="66"/>
      <c r="AJ116" s="66"/>
      <c r="AK116" s="66"/>
      <c r="AL116" s="66"/>
      <c r="AM116" s="66"/>
      <c r="AN116" s="66"/>
      <c r="AO116" s="66"/>
    </row>
    <row r="117" spans="1:43" ht="15.75" customHeight="1" x14ac:dyDescent="0.45">
      <c r="A117" s="42"/>
      <c r="B117" s="42"/>
      <c r="C117" s="201"/>
      <c r="D117" s="201"/>
      <c r="E117" s="201"/>
      <c r="F117" s="66"/>
      <c r="G117" s="852">
        <f>AE214</f>
        <v>92.876537217007993</v>
      </c>
      <c r="H117" s="852"/>
      <c r="I117" s="852"/>
      <c r="J117" s="291" t="s">
        <v>453</v>
      </c>
      <c r="M117" s="90"/>
      <c r="N117" s="90"/>
      <c r="O117" s="66"/>
      <c r="P117" s="66"/>
      <c r="Q117" s="66"/>
      <c r="R117" s="66"/>
      <c r="S117" s="66"/>
      <c r="T117" s="90"/>
      <c r="U117" s="97"/>
      <c r="V117" s="97"/>
      <c r="W117" s="97"/>
      <c r="X117" s="66"/>
      <c r="Y117" s="79"/>
      <c r="Z117" s="79"/>
      <c r="AA117" s="79"/>
      <c r="AB117" s="99"/>
      <c r="AC117" s="66"/>
      <c r="AD117" s="852">
        <f>AE216</f>
        <v>111.9868485765965</v>
      </c>
      <c r="AE117" s="852"/>
      <c r="AF117" s="852"/>
      <c r="AG117" s="291" t="s">
        <v>453</v>
      </c>
      <c r="AH117" s="291"/>
      <c r="AI117" s="291"/>
      <c r="AJ117" s="66"/>
      <c r="AK117" s="66"/>
      <c r="AL117" s="66"/>
      <c r="AM117" s="66"/>
      <c r="AN117" s="66"/>
      <c r="AO117" s="66"/>
    </row>
    <row r="118" spans="1:43" ht="12.75" customHeight="1" x14ac:dyDescent="0.45">
      <c r="A118" s="42"/>
      <c r="B118" s="42"/>
      <c r="C118" s="42"/>
      <c r="E118" s="42"/>
      <c r="F118" s="66"/>
      <c r="G118" s="66"/>
      <c r="K118" s="291"/>
      <c r="L118" s="291"/>
      <c r="M118" s="90"/>
      <c r="N118" s="90"/>
      <c r="O118" s="66"/>
      <c r="P118" s="66"/>
      <c r="Q118" s="66"/>
      <c r="R118" s="66"/>
      <c r="S118" s="66"/>
      <c r="T118" s="90"/>
      <c r="U118" s="97"/>
      <c r="V118" s="97"/>
      <c r="W118" s="97"/>
      <c r="X118" s="66"/>
      <c r="Y118" s="79"/>
      <c r="Z118" s="79"/>
      <c r="AA118" s="79"/>
      <c r="AB118" s="99"/>
      <c r="AC118" s="66"/>
      <c r="AD118" s="66"/>
      <c r="AE118" s="66"/>
      <c r="AF118" s="66"/>
      <c r="AG118" s="66"/>
      <c r="AH118" s="66"/>
      <c r="AI118" s="66"/>
      <c r="AJ118" s="66"/>
      <c r="AK118" s="66"/>
      <c r="AL118" s="66"/>
      <c r="AM118" s="66"/>
      <c r="AN118" s="66"/>
      <c r="AO118" s="66"/>
    </row>
    <row r="119" spans="1:43" ht="6" customHeight="1" x14ac:dyDescent="0.45">
      <c r="A119" s="42"/>
      <c r="B119" s="42"/>
      <c r="C119" s="42"/>
      <c r="E119" s="42"/>
      <c r="F119" s="66"/>
      <c r="G119" s="66"/>
      <c r="H119" s="66"/>
      <c r="I119" s="66"/>
      <c r="J119" s="66"/>
      <c r="K119" s="66"/>
      <c r="L119" s="90"/>
      <c r="M119" s="90"/>
      <c r="N119" s="90"/>
      <c r="O119" s="66"/>
      <c r="P119" s="66"/>
      <c r="Q119" s="66"/>
      <c r="R119" s="66"/>
      <c r="S119" s="66"/>
      <c r="T119" s="90"/>
      <c r="U119" s="97"/>
      <c r="V119" s="97"/>
      <c r="W119" s="97"/>
      <c r="X119" s="66"/>
      <c r="Y119" s="79"/>
      <c r="Z119" s="79"/>
      <c r="AA119" s="79"/>
      <c r="AB119" s="99"/>
      <c r="AC119" s="66"/>
      <c r="AD119" s="66"/>
      <c r="AE119" s="66"/>
      <c r="AF119" s="66"/>
      <c r="AG119" s="66"/>
      <c r="AH119" s="66"/>
      <c r="AI119" s="66"/>
      <c r="AJ119" s="66"/>
      <c r="AK119" s="66"/>
      <c r="AL119" s="66"/>
      <c r="AM119" s="66"/>
      <c r="AN119" s="66"/>
      <c r="AO119" s="66"/>
    </row>
    <row r="120" spans="1:43" x14ac:dyDescent="0.35">
      <c r="A120" s="42"/>
      <c r="B120" s="42"/>
      <c r="C120" s="42"/>
      <c r="P120" s="364" t="s">
        <v>482</v>
      </c>
    </row>
    <row r="121" spans="1:43" s="502" customFormat="1" x14ac:dyDescent="0.35">
      <c r="A121" s="500"/>
      <c r="B121" s="500"/>
      <c r="C121" s="500"/>
      <c r="P121" s="364"/>
    </row>
    <row r="122" spans="1:43" s="528" customFormat="1" x14ac:dyDescent="0.35">
      <c r="A122" s="526"/>
      <c r="B122" s="526"/>
      <c r="C122" s="526"/>
      <c r="P122" s="364"/>
    </row>
    <row r="123" spans="1:43" s="528" customFormat="1" x14ac:dyDescent="0.35">
      <c r="A123" s="526"/>
      <c r="B123" s="526"/>
      <c r="C123" s="526"/>
      <c r="P123" s="364"/>
    </row>
    <row r="124" spans="1:43" s="538" customFormat="1" x14ac:dyDescent="0.35">
      <c r="A124" s="539"/>
      <c r="B124" s="539"/>
      <c r="C124" s="539"/>
      <c r="P124" s="364"/>
    </row>
    <row r="125" spans="1:43" s="528" customFormat="1" x14ac:dyDescent="0.35">
      <c r="A125" s="526"/>
      <c r="B125" s="526"/>
      <c r="C125" s="526"/>
      <c r="P125" s="364"/>
    </row>
    <row r="126" spans="1:43" x14ac:dyDescent="0.35">
      <c r="A126" s="42"/>
      <c r="B126" s="72">
        <v>3</v>
      </c>
      <c r="C126" s="233" t="s">
        <v>76</v>
      </c>
    </row>
    <row r="127" spans="1:43" s="305" customFormat="1" x14ac:dyDescent="0.35">
      <c r="A127" s="299"/>
      <c r="B127" s="213"/>
      <c r="C127" s="213"/>
      <c r="D127" s="158"/>
      <c r="E127" s="158"/>
      <c r="F127" s="158"/>
      <c r="G127" s="158"/>
      <c r="H127" s="158"/>
      <c r="I127" s="158"/>
      <c r="J127" s="158"/>
      <c r="K127" s="158"/>
      <c r="L127" s="158"/>
      <c r="M127" s="158"/>
      <c r="N127" s="158"/>
      <c r="O127" s="158"/>
      <c r="P127" s="158"/>
      <c r="Q127" s="158"/>
      <c r="R127" s="158"/>
      <c r="S127" s="158"/>
      <c r="T127" s="158"/>
      <c r="AF127" s="158"/>
      <c r="AG127" s="158"/>
      <c r="AH127" s="158"/>
      <c r="AI127" s="158"/>
      <c r="AJ127" s="158"/>
      <c r="AK127" s="158"/>
      <c r="AL127" s="158"/>
      <c r="AM127" s="158"/>
      <c r="AN127" s="158"/>
      <c r="AO127" s="158"/>
      <c r="AP127" s="158"/>
      <c r="AQ127" s="158"/>
    </row>
    <row r="128" spans="1:43" s="372" customFormat="1" ht="16.5" x14ac:dyDescent="0.4">
      <c r="A128" s="373"/>
      <c r="B128" s="213"/>
      <c r="C128" s="213" t="s">
        <v>430</v>
      </c>
      <c r="D128" s="158"/>
      <c r="E128" s="158"/>
      <c r="F128" s="158"/>
      <c r="G128" s="158"/>
      <c r="H128" s="158"/>
      <c r="I128" s="158"/>
      <c r="J128" s="158"/>
      <c r="K128" s="158" t="s">
        <v>0</v>
      </c>
      <c r="L128" s="369">
        <v>1</v>
      </c>
      <c r="M128" s="158" t="s">
        <v>21</v>
      </c>
      <c r="N128" s="860" t="s">
        <v>413</v>
      </c>
      <c r="O128" s="860"/>
      <c r="P128" s="860"/>
      <c r="Q128" s="400" t="s">
        <v>21</v>
      </c>
      <c r="R128" s="866" t="s">
        <v>414</v>
      </c>
      <c r="S128" s="866"/>
      <c r="T128" s="866"/>
      <c r="U128" s="400" t="s">
        <v>21</v>
      </c>
      <c r="V128" s="792" t="s">
        <v>528</v>
      </c>
      <c r="W128" s="792"/>
      <c r="X128" s="792"/>
      <c r="Y128" s="283"/>
      <c r="AF128" s="158"/>
      <c r="AG128" s="158"/>
      <c r="AH128" s="158"/>
      <c r="AI128" s="158"/>
      <c r="AJ128" s="158"/>
      <c r="AK128" s="158"/>
      <c r="AL128" s="158"/>
      <c r="AM128" s="158"/>
      <c r="AN128" s="158"/>
      <c r="AO128" s="158"/>
      <c r="AP128" s="158"/>
      <c r="AQ128" s="158"/>
    </row>
    <row r="129" spans="1:43" s="372" customFormat="1" x14ac:dyDescent="0.25">
      <c r="A129" s="373"/>
      <c r="B129" s="213"/>
      <c r="C129" s="213"/>
      <c r="D129" s="158"/>
      <c r="E129" s="158"/>
      <c r="F129" s="158"/>
      <c r="G129" s="158"/>
      <c r="H129" s="158"/>
      <c r="I129" s="158"/>
      <c r="J129" s="158"/>
      <c r="K129" s="158"/>
      <c r="L129" s="158">
        <v>2</v>
      </c>
      <c r="M129" s="158"/>
      <c r="N129" s="158"/>
      <c r="O129" s="158"/>
      <c r="P129" s="158"/>
      <c r="Q129" s="158"/>
      <c r="R129" s="158"/>
      <c r="S129" s="158"/>
      <c r="T129" s="158"/>
      <c r="Y129" s="401">
        <v>2</v>
      </c>
      <c r="AF129" s="158"/>
      <c r="AG129" s="158"/>
      <c r="AH129" s="158"/>
      <c r="AI129" s="158"/>
      <c r="AJ129" s="158"/>
      <c r="AK129" s="158"/>
      <c r="AL129" s="158"/>
      <c r="AM129" s="158"/>
      <c r="AN129" s="158"/>
      <c r="AO129" s="158"/>
      <c r="AP129" s="158"/>
      <c r="AQ129" s="158"/>
    </row>
    <row r="130" spans="1:43" s="372" customFormat="1" x14ac:dyDescent="0.35">
      <c r="A130" s="373"/>
      <c r="B130" s="213"/>
      <c r="C130" s="213"/>
      <c r="D130" s="158"/>
      <c r="E130" s="158"/>
      <c r="F130" s="158"/>
      <c r="G130" s="158"/>
      <c r="H130" s="158"/>
      <c r="I130" s="158"/>
      <c r="J130" s="158"/>
      <c r="K130" s="158" t="s">
        <v>0</v>
      </c>
      <c r="L130" s="695">
        <v>0.5</v>
      </c>
      <c r="M130" s="695"/>
      <c r="N130" s="158" t="s">
        <v>21</v>
      </c>
      <c r="O130" s="686">
        <f>U32</f>
        <v>0.27927785632681618</v>
      </c>
      <c r="P130" s="695"/>
      <c r="Q130" s="695"/>
      <c r="R130" s="158" t="s">
        <v>21</v>
      </c>
      <c r="S130" s="695">
        <f>U70</f>
        <v>20</v>
      </c>
      <c r="T130" s="695"/>
      <c r="U130" s="695"/>
      <c r="V130" s="372" t="s">
        <v>21</v>
      </c>
      <c r="W130" s="686">
        <f>AA103+G110</f>
        <v>4</v>
      </c>
      <c r="X130" s="695"/>
      <c r="Y130" s="695"/>
      <c r="AF130" s="158"/>
      <c r="AG130" s="158"/>
      <c r="AH130" s="158"/>
      <c r="AI130" s="158"/>
      <c r="AJ130" s="158"/>
      <c r="AK130" s="158"/>
      <c r="AL130" s="158"/>
      <c r="AM130" s="158"/>
      <c r="AN130" s="158"/>
      <c r="AO130" s="158"/>
      <c r="AP130" s="158"/>
      <c r="AQ130" s="158"/>
    </row>
    <row r="131" spans="1:43" s="372" customFormat="1" x14ac:dyDescent="0.35">
      <c r="A131" s="373"/>
      <c r="B131" s="213"/>
      <c r="C131" s="213"/>
      <c r="D131" s="158"/>
      <c r="E131" s="158"/>
      <c r="F131" s="158"/>
      <c r="G131" s="158"/>
      <c r="H131" s="158"/>
      <c r="I131" s="158"/>
      <c r="J131" s="158"/>
      <c r="K131" s="158" t="s">
        <v>0</v>
      </c>
      <c r="L131" s="686">
        <f>L130*O130*S130*(W130^2)</f>
        <v>44.684457012290586</v>
      </c>
      <c r="M131" s="686"/>
      <c r="N131" s="686"/>
      <c r="O131" s="158" t="s">
        <v>432</v>
      </c>
      <c r="P131" s="158"/>
      <c r="Q131" s="158"/>
      <c r="R131" s="158"/>
      <c r="S131" s="158"/>
      <c r="T131" s="158"/>
      <c r="AF131" s="158"/>
      <c r="AG131" s="158"/>
      <c r="AH131" s="158"/>
      <c r="AI131" s="158"/>
      <c r="AJ131" s="158"/>
      <c r="AK131" s="158"/>
      <c r="AL131" s="158"/>
      <c r="AM131" s="158"/>
      <c r="AN131" s="158"/>
      <c r="AO131" s="158"/>
      <c r="AP131" s="158"/>
      <c r="AQ131" s="158"/>
    </row>
    <row r="132" spans="1:43" s="410" customFormat="1" x14ac:dyDescent="0.35">
      <c r="A132" s="413"/>
      <c r="B132" s="415"/>
      <c r="C132" s="415"/>
      <c r="D132" s="158"/>
      <c r="E132" s="158"/>
      <c r="F132" s="158"/>
      <c r="G132" s="158"/>
      <c r="H132" s="158"/>
      <c r="I132" s="158"/>
      <c r="J132" s="158"/>
      <c r="K132" s="158"/>
      <c r="L132" s="414"/>
      <c r="M132" s="414"/>
      <c r="N132" s="414"/>
      <c r="O132" s="158"/>
      <c r="P132" s="158"/>
      <c r="Q132" s="158"/>
      <c r="R132" s="158"/>
      <c r="S132" s="158"/>
      <c r="T132" s="158"/>
      <c r="AF132" s="158"/>
      <c r="AG132" s="158"/>
      <c r="AH132" s="158"/>
      <c r="AI132" s="158"/>
      <c r="AJ132" s="158"/>
      <c r="AK132" s="158"/>
      <c r="AL132" s="158"/>
      <c r="AM132" s="158"/>
      <c r="AN132" s="158"/>
      <c r="AO132" s="158"/>
      <c r="AP132" s="158"/>
      <c r="AQ132" s="158"/>
    </row>
    <row r="133" spans="1:43" s="410" customFormat="1" ht="17" hidden="1" x14ac:dyDescent="0.45">
      <c r="A133" s="413"/>
      <c r="B133" s="415"/>
      <c r="C133" s="415" t="s">
        <v>431</v>
      </c>
      <c r="D133" s="158"/>
      <c r="E133" s="158"/>
      <c r="F133" s="158"/>
      <c r="G133" s="158"/>
      <c r="H133" s="158"/>
      <c r="I133" s="158"/>
      <c r="J133" s="158"/>
      <c r="K133" s="158" t="s">
        <v>0</v>
      </c>
      <c r="L133" s="412">
        <v>1</v>
      </c>
      <c r="M133" s="158" t="s">
        <v>21</v>
      </c>
      <c r="N133" s="860" t="s">
        <v>413</v>
      </c>
      <c r="O133" s="860"/>
      <c r="P133" s="860"/>
      <c r="Q133" s="400" t="s">
        <v>21</v>
      </c>
      <c r="R133" s="866" t="s">
        <v>414</v>
      </c>
      <c r="S133" s="866"/>
      <c r="T133" s="866"/>
      <c r="U133" s="400" t="s">
        <v>21</v>
      </c>
      <c r="V133" s="792" t="s">
        <v>429</v>
      </c>
      <c r="W133" s="792"/>
      <c r="X133" s="792"/>
      <c r="Y133" s="283"/>
      <c r="AF133" s="158"/>
      <c r="AG133" s="158"/>
      <c r="AH133" s="158"/>
      <c r="AI133" s="158"/>
      <c r="AJ133" s="158"/>
      <c r="AK133" s="158"/>
      <c r="AL133" s="158"/>
      <c r="AM133" s="158"/>
      <c r="AN133" s="158"/>
      <c r="AO133" s="158"/>
      <c r="AP133" s="158"/>
      <c r="AQ133" s="158"/>
    </row>
    <row r="134" spans="1:43" s="410" customFormat="1" hidden="1" x14ac:dyDescent="0.25">
      <c r="A134" s="413"/>
      <c r="B134" s="415"/>
      <c r="C134" s="415"/>
      <c r="D134" s="158"/>
      <c r="E134" s="158"/>
      <c r="F134" s="158"/>
      <c r="G134" s="158"/>
      <c r="H134" s="158"/>
      <c r="I134" s="158"/>
      <c r="J134" s="158"/>
      <c r="K134" s="158"/>
      <c r="L134" s="158">
        <v>2</v>
      </c>
      <c r="M134" s="158"/>
      <c r="N134" s="158"/>
      <c r="O134" s="158"/>
      <c r="P134" s="158"/>
      <c r="Q134" s="158"/>
      <c r="R134" s="158"/>
      <c r="S134" s="158"/>
      <c r="T134" s="158"/>
      <c r="Y134" s="401">
        <v>2</v>
      </c>
      <c r="AF134" s="158"/>
      <c r="AG134" s="158"/>
      <c r="AH134" s="158"/>
      <c r="AI134" s="158"/>
      <c r="AJ134" s="158"/>
      <c r="AK134" s="158"/>
      <c r="AL134" s="158"/>
      <c r="AM134" s="158"/>
      <c r="AN134" s="158"/>
      <c r="AO134" s="158"/>
      <c r="AP134" s="158"/>
      <c r="AQ134" s="158"/>
    </row>
    <row r="135" spans="1:43" s="410" customFormat="1" hidden="1" x14ac:dyDescent="0.35">
      <c r="A135" s="413"/>
      <c r="B135" s="415"/>
      <c r="C135" s="415"/>
      <c r="D135" s="158"/>
      <c r="E135" s="158"/>
      <c r="F135" s="158"/>
      <c r="G135" s="158"/>
      <c r="H135" s="158"/>
      <c r="I135" s="158"/>
      <c r="J135" s="158"/>
      <c r="K135" s="158" t="s">
        <v>0</v>
      </c>
      <c r="L135" s="695">
        <f>L130</f>
        <v>0.5</v>
      </c>
      <c r="M135" s="695"/>
      <c r="N135" s="158" t="s">
        <v>21</v>
      </c>
      <c r="O135" s="686">
        <f>O130</f>
        <v>0.27927785632681618</v>
      </c>
      <c r="P135" s="695"/>
      <c r="Q135" s="695"/>
      <c r="R135" s="158" t="s">
        <v>21</v>
      </c>
      <c r="S135" s="695">
        <f>S130</f>
        <v>20</v>
      </c>
      <c r="T135" s="695"/>
      <c r="U135" s="695"/>
      <c r="V135" s="410" t="s">
        <v>21</v>
      </c>
      <c r="W135" s="686">
        <f>J110</f>
        <v>1.5</v>
      </c>
      <c r="X135" s="695"/>
      <c r="Y135" s="695"/>
      <c r="AF135" s="158"/>
      <c r="AG135" s="158"/>
      <c r="AH135" s="158"/>
      <c r="AI135" s="158"/>
      <c r="AJ135" s="158"/>
      <c r="AK135" s="158"/>
      <c r="AL135" s="158"/>
      <c r="AM135" s="158"/>
      <c r="AN135" s="158"/>
      <c r="AO135" s="158"/>
      <c r="AP135" s="158"/>
      <c r="AQ135" s="158"/>
    </row>
    <row r="136" spans="1:43" s="410" customFormat="1" hidden="1" x14ac:dyDescent="0.35">
      <c r="A136" s="413"/>
      <c r="B136" s="415"/>
      <c r="C136" s="415"/>
      <c r="D136" s="158"/>
      <c r="E136" s="158"/>
      <c r="F136" s="158"/>
      <c r="G136" s="158"/>
      <c r="H136" s="158"/>
      <c r="I136" s="158"/>
      <c r="J136" s="158"/>
      <c r="K136" s="158" t="s">
        <v>0</v>
      </c>
      <c r="L136" s="686">
        <f>L135*O135*S135*(W135^2)</f>
        <v>6.2837517673533636</v>
      </c>
      <c r="M136" s="686"/>
      <c r="N136" s="686"/>
      <c r="O136" s="158" t="s">
        <v>432</v>
      </c>
      <c r="P136" s="158"/>
      <c r="Q136" s="158"/>
      <c r="R136" s="158"/>
      <c r="S136" s="158"/>
      <c r="T136" s="158"/>
      <c r="AF136" s="158"/>
      <c r="AG136" s="158"/>
      <c r="AH136" s="158"/>
      <c r="AI136" s="158"/>
      <c r="AJ136" s="158"/>
      <c r="AK136" s="158"/>
      <c r="AL136" s="158"/>
      <c r="AM136" s="158"/>
      <c r="AN136" s="158"/>
      <c r="AO136" s="158"/>
      <c r="AP136" s="158"/>
      <c r="AQ136" s="158"/>
    </row>
    <row r="137" spans="1:43" s="372" customFormat="1" hidden="1" x14ac:dyDescent="0.35">
      <c r="A137" s="373"/>
      <c r="B137" s="213"/>
      <c r="C137" s="213"/>
      <c r="D137" s="158"/>
      <c r="E137" s="158"/>
      <c r="F137" s="158"/>
      <c r="G137" s="158"/>
      <c r="H137" s="158"/>
      <c r="I137" s="158"/>
      <c r="J137" s="158"/>
      <c r="K137" s="158"/>
      <c r="L137" s="158"/>
      <c r="M137" s="158"/>
      <c r="N137" s="158"/>
      <c r="O137" s="158"/>
      <c r="P137" s="158"/>
      <c r="Q137" s="158"/>
      <c r="R137" s="158"/>
      <c r="S137" s="158"/>
      <c r="T137" s="158"/>
      <c r="AF137" s="158"/>
      <c r="AG137" s="158"/>
      <c r="AH137" s="158"/>
      <c r="AI137" s="158"/>
      <c r="AJ137" s="158"/>
      <c r="AK137" s="158"/>
      <c r="AL137" s="158"/>
      <c r="AM137" s="158"/>
      <c r="AN137" s="158"/>
      <c r="AO137" s="158"/>
      <c r="AP137" s="158"/>
      <c r="AQ137" s="158"/>
    </row>
    <row r="138" spans="1:43" s="328" customFormat="1" x14ac:dyDescent="0.35">
      <c r="A138" s="329"/>
      <c r="B138" s="213"/>
      <c r="C138" s="422" t="s">
        <v>385</v>
      </c>
      <c r="D138" s="158"/>
      <c r="E138" s="158"/>
      <c r="F138" s="158"/>
      <c r="G138" s="158"/>
      <c r="H138" s="158"/>
      <c r="I138" s="158"/>
      <c r="J138" s="158"/>
      <c r="K138" s="158"/>
      <c r="L138" s="158"/>
      <c r="M138" s="158"/>
      <c r="N138" s="158"/>
      <c r="O138" s="158"/>
      <c r="P138" s="158"/>
      <c r="Q138" s="158"/>
      <c r="R138" s="158"/>
      <c r="S138" s="158"/>
      <c r="T138" s="158"/>
      <c r="AF138" s="158"/>
      <c r="AG138" s="158"/>
      <c r="AH138" s="158"/>
      <c r="AI138" s="158"/>
      <c r="AJ138" s="158"/>
      <c r="AK138" s="158"/>
      <c r="AL138" s="158"/>
      <c r="AM138" s="158"/>
      <c r="AN138" s="158"/>
      <c r="AO138" s="158"/>
      <c r="AP138" s="158"/>
      <c r="AQ138" s="158"/>
    </row>
    <row r="139" spans="1:43" s="328" customFormat="1" ht="7.5" customHeight="1" x14ac:dyDescent="0.35">
      <c r="A139" s="329"/>
      <c r="B139" s="213"/>
      <c r="C139" s="213"/>
      <c r="D139" s="158"/>
      <c r="E139" s="158"/>
      <c r="F139" s="158"/>
      <c r="G139" s="158"/>
      <c r="H139" s="158"/>
      <c r="I139" s="158"/>
      <c r="J139" s="158"/>
      <c r="K139" s="158"/>
      <c r="L139" s="158"/>
      <c r="M139" s="158"/>
      <c r="N139" s="158"/>
      <c r="O139" s="158"/>
      <c r="P139" s="158"/>
      <c r="Q139" s="158"/>
      <c r="R139" s="158"/>
      <c r="S139" s="158"/>
      <c r="T139" s="158"/>
      <c r="AF139" s="158"/>
      <c r="AG139" s="158"/>
      <c r="AH139" s="158"/>
      <c r="AI139" s="158"/>
      <c r="AJ139" s="158"/>
      <c r="AK139" s="158"/>
      <c r="AL139" s="158"/>
      <c r="AM139" s="158"/>
      <c r="AN139" s="158"/>
      <c r="AO139" s="158"/>
      <c r="AP139" s="158"/>
      <c r="AQ139" s="158"/>
    </row>
    <row r="140" spans="1:43" s="165" customFormat="1" x14ac:dyDescent="0.35">
      <c r="A140" s="162"/>
      <c r="B140" s="162"/>
      <c r="C140" s="342" t="s">
        <v>372</v>
      </c>
    </row>
    <row r="141" spans="1:43" ht="12.75" customHeight="1" x14ac:dyDescent="0.35">
      <c r="A141" s="42"/>
      <c r="B141" s="42"/>
      <c r="C141" s="785" t="s">
        <v>38</v>
      </c>
      <c r="D141" s="785"/>
      <c r="E141" s="668" t="s">
        <v>3</v>
      </c>
      <c r="F141" s="668"/>
      <c r="G141" s="668"/>
      <c r="H141" s="668"/>
      <c r="I141" s="668"/>
      <c r="J141" s="785" t="s">
        <v>8</v>
      </c>
      <c r="K141" s="785"/>
      <c r="L141" s="785"/>
      <c r="M141" s="785"/>
      <c r="N141" s="785"/>
      <c r="O141" s="785"/>
      <c r="P141" s="785"/>
      <c r="Q141" s="785"/>
      <c r="R141" s="785"/>
      <c r="S141" s="785"/>
      <c r="T141" s="785"/>
      <c r="U141" s="785"/>
      <c r="V141" s="785"/>
      <c r="W141" s="785"/>
      <c r="X141" s="785"/>
      <c r="Y141" s="861"/>
      <c r="Z141" s="785" t="s">
        <v>188</v>
      </c>
      <c r="AA141" s="668"/>
      <c r="AB141" s="668"/>
      <c r="AC141" s="668"/>
      <c r="AD141" s="668"/>
      <c r="AE141" s="859"/>
      <c r="AF141" s="785" t="s">
        <v>439</v>
      </c>
      <c r="AG141" s="785"/>
      <c r="AH141" s="785"/>
      <c r="AI141" s="785"/>
      <c r="AJ141" s="785"/>
      <c r="AK141" s="785"/>
      <c r="AL141" s="785"/>
      <c r="AM141" s="785"/>
    </row>
    <row r="142" spans="1:43" x14ac:dyDescent="0.35">
      <c r="A142" s="42"/>
      <c r="B142" s="42"/>
      <c r="C142" s="785"/>
      <c r="D142" s="785"/>
      <c r="E142" s="668"/>
      <c r="F142" s="668"/>
      <c r="G142" s="668"/>
      <c r="H142" s="668"/>
      <c r="I142" s="668"/>
      <c r="J142" s="785"/>
      <c r="K142" s="785"/>
      <c r="L142" s="785"/>
      <c r="M142" s="785"/>
      <c r="N142" s="785"/>
      <c r="O142" s="785"/>
      <c r="P142" s="785"/>
      <c r="Q142" s="785"/>
      <c r="R142" s="785"/>
      <c r="S142" s="785"/>
      <c r="T142" s="785"/>
      <c r="U142" s="785"/>
      <c r="V142" s="785"/>
      <c r="W142" s="785"/>
      <c r="X142" s="785"/>
      <c r="Y142" s="861"/>
      <c r="Z142" s="668"/>
      <c r="AA142" s="668"/>
      <c r="AB142" s="668"/>
      <c r="AC142" s="668"/>
      <c r="AD142" s="668"/>
      <c r="AE142" s="859"/>
      <c r="AF142" s="785"/>
      <c r="AG142" s="785"/>
      <c r="AH142" s="785"/>
      <c r="AI142" s="785"/>
      <c r="AJ142" s="785"/>
      <c r="AK142" s="785"/>
      <c r="AL142" s="785"/>
      <c r="AM142" s="785"/>
    </row>
    <row r="143" spans="1:43" s="85" customFormat="1" x14ac:dyDescent="0.35">
      <c r="A143" s="88"/>
      <c r="B143" s="88"/>
      <c r="C143" s="842" t="s">
        <v>173</v>
      </c>
      <c r="D143" s="843"/>
      <c r="E143" s="843"/>
      <c r="F143" s="843"/>
      <c r="G143" s="843"/>
      <c r="H143" s="843"/>
      <c r="I143" s="843"/>
      <c r="J143" s="843"/>
      <c r="K143" s="843"/>
      <c r="L143" s="843"/>
      <c r="M143" s="843"/>
      <c r="N143" s="843"/>
      <c r="O143" s="843"/>
      <c r="P143" s="843"/>
      <c r="Q143" s="843"/>
      <c r="R143" s="843"/>
      <c r="S143" s="843"/>
      <c r="T143" s="843"/>
      <c r="U143" s="843"/>
      <c r="V143" s="843"/>
      <c r="W143" s="843"/>
      <c r="X143" s="843"/>
      <c r="Y143" s="843"/>
      <c r="Z143" s="843"/>
      <c r="AA143" s="843"/>
      <c r="AB143" s="843"/>
      <c r="AC143" s="843"/>
      <c r="AD143" s="843"/>
      <c r="AE143" s="843"/>
      <c r="AF143" s="843"/>
      <c r="AG143" s="843"/>
      <c r="AH143" s="843"/>
      <c r="AI143" s="843"/>
      <c r="AJ143" s="843"/>
      <c r="AK143" s="843"/>
      <c r="AL143" s="843"/>
      <c r="AM143" s="844"/>
    </row>
    <row r="144" spans="1:43" s="85" customFormat="1" x14ac:dyDescent="0.35">
      <c r="A144" s="88"/>
      <c r="B144" s="88"/>
      <c r="C144" s="834">
        <v>1</v>
      </c>
      <c r="D144" s="834"/>
      <c r="E144" s="146" t="s">
        <v>540</v>
      </c>
      <c r="F144" s="144"/>
      <c r="G144" s="144"/>
      <c r="H144" s="144"/>
      <c r="I144" s="105"/>
      <c r="J144" s="101"/>
      <c r="K144" s="142"/>
      <c r="L144" s="145"/>
      <c r="M144" s="103"/>
      <c r="N144" s="143"/>
      <c r="O144" s="143"/>
      <c r="P144" s="103"/>
      <c r="Q144" s="689"/>
      <c r="R144" s="689"/>
      <c r="S144" s="689"/>
      <c r="T144" s="836"/>
      <c r="U144" s="836"/>
      <c r="V144" s="837"/>
      <c r="W144" s="805">
        <f>L131</f>
        <v>44.684457012290586</v>
      </c>
      <c r="X144" s="689"/>
      <c r="Y144" s="804"/>
      <c r="Z144" s="804">
        <f>0.42*W130</f>
        <v>1.68</v>
      </c>
      <c r="AA144" s="666"/>
      <c r="AB144" s="666"/>
      <c r="AC144" s="666"/>
      <c r="AD144" s="666"/>
      <c r="AE144" s="805"/>
      <c r="AF144" s="666">
        <f>W144*Z144</f>
        <v>75.069887780648187</v>
      </c>
      <c r="AG144" s="666"/>
      <c r="AH144" s="666"/>
      <c r="AI144" s="666"/>
      <c r="AJ144" s="666"/>
      <c r="AK144" s="666"/>
      <c r="AL144" s="666"/>
      <c r="AM144" s="666"/>
    </row>
    <row r="145" spans="1:39" s="85" customFormat="1" hidden="1" x14ac:dyDescent="0.35">
      <c r="A145" s="88"/>
      <c r="B145" s="88"/>
      <c r="C145" s="834">
        <v>2</v>
      </c>
      <c r="D145" s="834"/>
      <c r="E145" s="146" t="s">
        <v>433</v>
      </c>
      <c r="F145" s="144"/>
      <c r="G145" s="144"/>
      <c r="H145" s="144"/>
      <c r="I145" s="105"/>
      <c r="J145" s="416"/>
      <c r="K145" s="142"/>
      <c r="L145" s="145"/>
      <c r="M145" s="411"/>
      <c r="N145" s="143"/>
      <c r="O145" s="143"/>
      <c r="P145" s="411" t="s">
        <v>0</v>
      </c>
      <c r="Q145" s="835">
        <f>L136</f>
        <v>6.2837517673533636</v>
      </c>
      <c r="R145" s="835"/>
      <c r="S145" s="835"/>
      <c r="T145" s="836">
        <f>T144</f>
        <v>0</v>
      </c>
      <c r="U145" s="836"/>
      <c r="V145" s="837"/>
      <c r="W145" s="805" t="s">
        <v>499</v>
      </c>
      <c r="X145" s="689"/>
      <c r="Y145" s="804"/>
      <c r="Z145" s="804">
        <f>J110*0.42</f>
        <v>0.63</v>
      </c>
      <c r="AA145" s="666"/>
      <c r="AB145" s="666"/>
      <c r="AC145" s="666"/>
      <c r="AD145" s="666"/>
      <c r="AE145" s="805"/>
      <c r="AF145" s="666" t="s">
        <v>498</v>
      </c>
      <c r="AG145" s="666"/>
      <c r="AH145" s="666"/>
      <c r="AI145" s="666"/>
      <c r="AJ145" s="666"/>
      <c r="AK145" s="666"/>
      <c r="AL145" s="666"/>
      <c r="AM145" s="666"/>
    </row>
    <row r="146" spans="1:39" s="410" customFormat="1" x14ac:dyDescent="0.35">
      <c r="A146" s="413"/>
      <c r="B146" s="413"/>
      <c r="C146" s="834">
        <v>2</v>
      </c>
      <c r="D146" s="834"/>
      <c r="E146" s="146" t="s">
        <v>175</v>
      </c>
      <c r="F146" s="144"/>
      <c r="G146" s="144"/>
      <c r="H146" s="144"/>
      <c r="I146" s="105"/>
      <c r="J146" s="101"/>
      <c r="K146" s="144"/>
      <c r="L146" s="144"/>
      <c r="M146" s="103" t="s">
        <v>0</v>
      </c>
      <c r="N146" s="691">
        <f>O130</f>
        <v>0.27927785632681618</v>
      </c>
      <c r="O146" s="840"/>
      <c r="P146" s="103" t="s">
        <v>21</v>
      </c>
      <c r="Q146" s="815">
        <f>1.2</f>
        <v>1.2</v>
      </c>
      <c r="R146" s="815"/>
      <c r="S146" s="103" t="s">
        <v>21</v>
      </c>
      <c r="T146" s="815">
        <f>U70</f>
        <v>20</v>
      </c>
      <c r="U146" s="729"/>
      <c r="V146" s="755"/>
      <c r="W146" s="841">
        <f>T146*Q146*N146</f>
        <v>6.7026685518435887</v>
      </c>
      <c r="X146" s="841"/>
      <c r="Y146" s="841"/>
      <c r="Z146" s="804">
        <f>U9/2</f>
        <v>2</v>
      </c>
      <c r="AA146" s="666"/>
      <c r="AB146" s="666"/>
      <c r="AC146" s="666"/>
      <c r="AD146" s="666"/>
      <c r="AE146" s="805"/>
      <c r="AF146" s="666">
        <f>W146*Z146</f>
        <v>13.405337103687177</v>
      </c>
      <c r="AG146" s="666"/>
      <c r="AH146" s="666"/>
      <c r="AI146" s="666"/>
      <c r="AJ146" s="666"/>
      <c r="AK146" s="666"/>
      <c r="AL146" s="666"/>
      <c r="AM146" s="666"/>
    </row>
    <row r="147" spans="1:39" x14ac:dyDescent="0.35">
      <c r="A147" s="42"/>
      <c r="B147" s="42"/>
      <c r="C147" s="842" t="s">
        <v>71</v>
      </c>
      <c r="D147" s="843"/>
      <c r="E147" s="843"/>
      <c r="F147" s="843"/>
      <c r="G147" s="843"/>
      <c r="H147" s="843"/>
      <c r="I147" s="843"/>
      <c r="J147" s="843"/>
      <c r="K147" s="843"/>
      <c r="L147" s="843"/>
      <c r="M147" s="843"/>
      <c r="N147" s="843"/>
      <c r="O147" s="843"/>
      <c r="P147" s="843"/>
      <c r="Q147" s="843"/>
      <c r="R147" s="843"/>
      <c r="S147" s="843"/>
      <c r="T147" s="843"/>
      <c r="U147" s="843"/>
      <c r="V147" s="843"/>
      <c r="W147" s="843"/>
      <c r="X147" s="843"/>
      <c r="Y147" s="843"/>
      <c r="Z147" s="843"/>
      <c r="AA147" s="843"/>
      <c r="AB147" s="843"/>
      <c r="AC147" s="843"/>
      <c r="AD147" s="843"/>
      <c r="AE147" s="843"/>
      <c r="AF147" s="843"/>
      <c r="AG147" s="843"/>
      <c r="AH147" s="843"/>
      <c r="AI147" s="843"/>
      <c r="AJ147" s="843"/>
      <c r="AK147" s="843"/>
      <c r="AL147" s="843"/>
      <c r="AM147" s="844"/>
    </row>
    <row r="148" spans="1:39" x14ac:dyDescent="0.35">
      <c r="A148" s="42"/>
      <c r="B148" s="42"/>
      <c r="C148" s="834">
        <v>1</v>
      </c>
      <c r="D148" s="834"/>
      <c r="E148" s="667" t="s">
        <v>4</v>
      </c>
      <c r="F148" s="667"/>
      <c r="G148" s="667"/>
      <c r="H148" s="667"/>
      <c r="I148" s="667"/>
      <c r="J148" s="101"/>
      <c r="K148" s="776"/>
      <c r="L148" s="776"/>
      <c r="M148" s="102"/>
      <c r="N148" s="689">
        <f>T98</f>
        <v>0.3</v>
      </c>
      <c r="O148" s="689"/>
      <c r="P148" s="102" t="s">
        <v>21</v>
      </c>
      <c r="Q148" s="689">
        <f>G104</f>
        <v>3.45</v>
      </c>
      <c r="R148" s="689"/>
      <c r="S148" s="102" t="s">
        <v>21</v>
      </c>
      <c r="T148" s="776">
        <f>U71</f>
        <v>25</v>
      </c>
      <c r="U148" s="776"/>
      <c r="V148" s="104"/>
      <c r="W148" s="666">
        <f>T148*Q148*N148</f>
        <v>25.875</v>
      </c>
      <c r="X148" s="666"/>
      <c r="Y148" s="666"/>
      <c r="Z148" s="804">
        <f>P113+(T98/2)</f>
        <v>0.85</v>
      </c>
      <c r="AA148" s="666"/>
      <c r="AB148" s="666"/>
      <c r="AC148" s="666"/>
      <c r="AD148" s="666"/>
      <c r="AE148" s="805"/>
      <c r="AF148" s="666">
        <f>Z148*W148</f>
        <v>21.993749999999999</v>
      </c>
      <c r="AG148" s="666"/>
      <c r="AH148" s="666"/>
      <c r="AI148" s="666"/>
      <c r="AJ148" s="666"/>
      <c r="AK148" s="666"/>
      <c r="AL148" s="666"/>
      <c r="AM148" s="666"/>
    </row>
    <row r="149" spans="1:39" x14ac:dyDescent="0.35">
      <c r="A149" s="42"/>
      <c r="B149" s="42"/>
      <c r="C149" s="834">
        <v>2</v>
      </c>
      <c r="D149" s="834"/>
      <c r="E149" s="667" t="s">
        <v>5</v>
      </c>
      <c r="F149" s="667"/>
      <c r="G149" s="667"/>
      <c r="H149" s="667"/>
      <c r="I149" s="667"/>
      <c r="J149" s="101"/>
      <c r="K149" s="729">
        <v>0.5</v>
      </c>
      <c r="L149" s="729"/>
      <c r="M149" s="102" t="s">
        <v>21</v>
      </c>
      <c r="N149" s="689">
        <f>T113-T98</f>
        <v>0.2</v>
      </c>
      <c r="O149" s="689"/>
      <c r="P149" s="102" t="s">
        <v>21</v>
      </c>
      <c r="Q149" s="689">
        <f>G104</f>
        <v>3.45</v>
      </c>
      <c r="R149" s="689"/>
      <c r="S149" s="102" t="s">
        <v>21</v>
      </c>
      <c r="T149" s="729">
        <f>T148</f>
        <v>25</v>
      </c>
      <c r="U149" s="729"/>
      <c r="V149" s="105"/>
      <c r="W149" s="666">
        <f>T149*Q149*N149*K149</f>
        <v>8.625</v>
      </c>
      <c r="X149" s="666"/>
      <c r="Y149" s="666"/>
      <c r="Z149" s="804">
        <f>P113+T98+((T113-T98)/3)</f>
        <v>1.0666666666666667</v>
      </c>
      <c r="AA149" s="666"/>
      <c r="AB149" s="666"/>
      <c r="AC149" s="666"/>
      <c r="AD149" s="666"/>
      <c r="AE149" s="805"/>
      <c r="AF149" s="666">
        <f>Z149*W149</f>
        <v>9.1999999999999993</v>
      </c>
      <c r="AG149" s="666"/>
      <c r="AH149" s="666"/>
      <c r="AI149" s="666"/>
      <c r="AJ149" s="666"/>
      <c r="AK149" s="666"/>
      <c r="AL149" s="666"/>
      <c r="AM149" s="666"/>
    </row>
    <row r="150" spans="1:39" x14ac:dyDescent="0.35">
      <c r="A150" s="42"/>
      <c r="B150" s="42"/>
      <c r="C150" s="834">
        <v>3</v>
      </c>
      <c r="D150" s="834"/>
      <c r="E150" s="667" t="s">
        <v>6</v>
      </c>
      <c r="F150" s="667"/>
      <c r="G150" s="667"/>
      <c r="H150" s="667"/>
      <c r="I150" s="667"/>
      <c r="J150" s="101"/>
      <c r="K150" s="729"/>
      <c r="L150" s="729"/>
      <c r="M150" s="102"/>
      <c r="N150" s="689">
        <f>Q114</f>
        <v>4</v>
      </c>
      <c r="O150" s="689"/>
      <c r="P150" s="102" t="s">
        <v>21</v>
      </c>
      <c r="Q150" s="689">
        <f>IF(AD111=0,G110,AD111)</f>
        <v>0.4</v>
      </c>
      <c r="R150" s="689"/>
      <c r="S150" s="102" t="s">
        <v>21</v>
      </c>
      <c r="T150" s="729">
        <f>T149</f>
        <v>25</v>
      </c>
      <c r="U150" s="729"/>
      <c r="V150" s="105"/>
      <c r="W150" s="666">
        <f>T150*Q150*N150</f>
        <v>40</v>
      </c>
      <c r="X150" s="666"/>
      <c r="Y150" s="666"/>
      <c r="Z150" s="805">
        <f>Q114/2</f>
        <v>2</v>
      </c>
      <c r="AA150" s="689"/>
      <c r="AB150" s="689"/>
      <c r="AC150" s="689"/>
      <c r="AD150" s="689"/>
      <c r="AE150" s="804"/>
      <c r="AF150" s="666">
        <f t="shared" ref="AF150:AF154" si="2">Z150*W150</f>
        <v>80</v>
      </c>
      <c r="AG150" s="666"/>
      <c r="AH150" s="666"/>
      <c r="AI150" s="666"/>
      <c r="AJ150" s="666"/>
      <c r="AK150" s="666"/>
      <c r="AL150" s="666"/>
      <c r="AM150" s="666"/>
    </row>
    <row r="151" spans="1:39" x14ac:dyDescent="0.35">
      <c r="A151" s="42"/>
      <c r="B151" s="42"/>
      <c r="C151" s="834">
        <v>4</v>
      </c>
      <c r="D151" s="834"/>
      <c r="E151" s="667" t="s">
        <v>7</v>
      </c>
      <c r="F151" s="667"/>
      <c r="G151" s="667"/>
      <c r="H151" s="667"/>
      <c r="I151" s="667"/>
      <c r="J151" s="101"/>
      <c r="K151" s="729">
        <v>0.5</v>
      </c>
      <c r="L151" s="729"/>
      <c r="M151" s="102" t="s">
        <v>21</v>
      </c>
      <c r="N151" s="689">
        <f>P113</f>
        <v>0.7</v>
      </c>
      <c r="O151" s="689"/>
      <c r="P151" s="102" t="s">
        <v>21</v>
      </c>
      <c r="Q151" s="689">
        <f>IF(AD111=0,0,G110-AD111)</f>
        <v>0.15000000000000002</v>
      </c>
      <c r="R151" s="689"/>
      <c r="S151" s="102" t="s">
        <v>21</v>
      </c>
      <c r="T151" s="729">
        <f>T150</f>
        <v>25</v>
      </c>
      <c r="U151" s="729"/>
      <c r="V151" s="105"/>
      <c r="W151" s="805">
        <f>T151*Q151*N151*K151</f>
        <v>1.3125</v>
      </c>
      <c r="X151" s="689"/>
      <c r="Y151" s="804"/>
      <c r="Z151" s="805">
        <f>2/3*N151</f>
        <v>0.46666666666666662</v>
      </c>
      <c r="AA151" s="689"/>
      <c r="AB151" s="689"/>
      <c r="AC151" s="689"/>
      <c r="AD151" s="689"/>
      <c r="AE151" s="804"/>
      <c r="AF151" s="666">
        <f t="shared" si="2"/>
        <v>0.61249999999999993</v>
      </c>
      <c r="AG151" s="666"/>
      <c r="AH151" s="666"/>
      <c r="AI151" s="666"/>
      <c r="AJ151" s="666"/>
      <c r="AK151" s="666"/>
      <c r="AL151" s="666"/>
      <c r="AM151" s="666"/>
    </row>
    <row r="152" spans="1:39" x14ac:dyDescent="0.35">
      <c r="A152" s="42"/>
      <c r="B152" s="42"/>
      <c r="C152" s="834">
        <v>5</v>
      </c>
      <c r="D152" s="834"/>
      <c r="E152" s="667" t="s">
        <v>440</v>
      </c>
      <c r="F152" s="667"/>
      <c r="G152" s="667"/>
      <c r="H152" s="667"/>
      <c r="I152" s="667"/>
      <c r="J152" s="101"/>
      <c r="K152" s="729"/>
      <c r="L152" s="729"/>
      <c r="M152" s="102"/>
      <c r="N152" s="815">
        <f>T113</f>
        <v>0.5</v>
      </c>
      <c r="O152" s="729"/>
      <c r="P152" s="102" t="s">
        <v>21</v>
      </c>
      <c r="Q152" s="689">
        <f>Q151</f>
        <v>0.15000000000000002</v>
      </c>
      <c r="R152" s="689"/>
      <c r="S152" s="102" t="s">
        <v>21</v>
      </c>
      <c r="T152" s="729">
        <f>T151</f>
        <v>25</v>
      </c>
      <c r="U152" s="729"/>
      <c r="V152" s="105"/>
      <c r="W152" s="805">
        <f>T152*Q152*N152</f>
        <v>1.8750000000000002</v>
      </c>
      <c r="X152" s="689"/>
      <c r="Y152" s="804"/>
      <c r="Z152" s="805">
        <f>P113+(N152/2)</f>
        <v>0.95</v>
      </c>
      <c r="AA152" s="689"/>
      <c r="AB152" s="689"/>
      <c r="AC152" s="689"/>
      <c r="AD152" s="689"/>
      <c r="AE152" s="804"/>
      <c r="AF152" s="666">
        <f t="shared" si="2"/>
        <v>1.7812500000000002</v>
      </c>
      <c r="AG152" s="666"/>
      <c r="AH152" s="666"/>
      <c r="AI152" s="666"/>
      <c r="AJ152" s="666"/>
      <c r="AK152" s="666"/>
      <c r="AL152" s="666"/>
      <c r="AM152" s="666"/>
    </row>
    <row r="153" spans="1:39" x14ac:dyDescent="0.35">
      <c r="A153" s="42"/>
      <c r="B153" s="42"/>
      <c r="C153" s="834">
        <v>6</v>
      </c>
      <c r="D153" s="834"/>
      <c r="E153" s="667" t="s">
        <v>441</v>
      </c>
      <c r="F153" s="667"/>
      <c r="G153" s="667"/>
      <c r="H153" s="667"/>
      <c r="I153" s="667"/>
      <c r="J153" s="101"/>
      <c r="K153" s="729">
        <v>0.5</v>
      </c>
      <c r="L153" s="729"/>
      <c r="M153" s="102" t="s">
        <v>21</v>
      </c>
      <c r="N153" s="815">
        <f>Z113</f>
        <v>2.8</v>
      </c>
      <c r="O153" s="729"/>
      <c r="P153" s="102" t="s">
        <v>21</v>
      </c>
      <c r="Q153" s="689">
        <f>Q152</f>
        <v>0.15000000000000002</v>
      </c>
      <c r="R153" s="689"/>
      <c r="S153" s="102" t="s">
        <v>21</v>
      </c>
      <c r="T153" s="729">
        <f>T152</f>
        <v>25</v>
      </c>
      <c r="U153" s="729"/>
      <c r="V153" s="104"/>
      <c r="W153" s="805">
        <f>T153*Q153*N153*K153</f>
        <v>5.25</v>
      </c>
      <c r="X153" s="689"/>
      <c r="Y153" s="804"/>
      <c r="Z153" s="804">
        <f>P113+T113+(Z113/3)</f>
        <v>2.1333333333333333</v>
      </c>
      <c r="AA153" s="666"/>
      <c r="AB153" s="666"/>
      <c r="AC153" s="666"/>
      <c r="AD153" s="666"/>
      <c r="AE153" s="805"/>
      <c r="AF153" s="666">
        <f t="shared" si="2"/>
        <v>11.2</v>
      </c>
      <c r="AG153" s="666"/>
      <c r="AH153" s="666"/>
      <c r="AI153" s="666"/>
      <c r="AJ153" s="666"/>
      <c r="AK153" s="666"/>
      <c r="AL153" s="666"/>
      <c r="AM153" s="666"/>
    </row>
    <row r="154" spans="1:39" x14ac:dyDescent="0.35">
      <c r="A154" s="42"/>
      <c r="B154" s="42"/>
      <c r="C154" s="834">
        <v>7</v>
      </c>
      <c r="D154" s="834"/>
      <c r="E154" s="838" t="s">
        <v>442</v>
      </c>
      <c r="F154" s="838"/>
      <c r="G154" s="838"/>
      <c r="H154" s="838"/>
      <c r="I154" s="838"/>
      <c r="J154" s="107"/>
      <c r="K154" s="670"/>
      <c r="L154" s="670"/>
      <c r="M154" s="107"/>
      <c r="N154" s="669">
        <f>Z113</f>
        <v>2.8</v>
      </c>
      <c r="O154" s="669"/>
      <c r="P154" s="107" t="s">
        <v>21</v>
      </c>
      <c r="Q154" s="716">
        <f>G104</f>
        <v>3.45</v>
      </c>
      <c r="R154" s="716"/>
      <c r="S154" s="107" t="s">
        <v>21</v>
      </c>
      <c r="T154" s="670">
        <f>U70</f>
        <v>20</v>
      </c>
      <c r="U154" s="670"/>
      <c r="V154" s="107"/>
      <c r="W154" s="805">
        <f>T154*Q154*N154</f>
        <v>193.2</v>
      </c>
      <c r="X154" s="689"/>
      <c r="Y154" s="804"/>
      <c r="Z154" s="805">
        <f>P113+T113+(0.5*Z113)</f>
        <v>2.5999999999999996</v>
      </c>
      <c r="AA154" s="689"/>
      <c r="AB154" s="689"/>
      <c r="AC154" s="689"/>
      <c r="AD154" s="689"/>
      <c r="AE154" s="804"/>
      <c r="AF154" s="666">
        <f t="shared" si="2"/>
        <v>502.31999999999988</v>
      </c>
      <c r="AG154" s="666"/>
      <c r="AH154" s="666"/>
      <c r="AI154" s="666"/>
      <c r="AJ154" s="666"/>
      <c r="AK154" s="666"/>
      <c r="AL154" s="666"/>
      <c r="AM154" s="666"/>
    </row>
    <row r="155" spans="1:39" s="457" customFormat="1" x14ac:dyDescent="0.35">
      <c r="A155" s="460"/>
      <c r="B155" s="460"/>
      <c r="C155" s="834">
        <v>8</v>
      </c>
      <c r="D155" s="834"/>
      <c r="E155" s="838" t="s">
        <v>489</v>
      </c>
      <c r="F155" s="838"/>
      <c r="G155" s="838"/>
      <c r="H155" s="838"/>
      <c r="I155" s="838"/>
      <c r="J155" s="459"/>
      <c r="K155" s="729">
        <v>0.5</v>
      </c>
      <c r="L155" s="729"/>
      <c r="M155" s="461" t="s">
        <v>21</v>
      </c>
      <c r="N155" s="669">
        <f>(T113-T98)</f>
        <v>0.2</v>
      </c>
      <c r="O155" s="669"/>
      <c r="P155" s="459" t="s">
        <v>21</v>
      </c>
      <c r="Q155" s="716">
        <f>Q154</f>
        <v>3.45</v>
      </c>
      <c r="R155" s="716"/>
      <c r="S155" s="459" t="s">
        <v>21</v>
      </c>
      <c r="T155" s="670">
        <f>T154</f>
        <v>20</v>
      </c>
      <c r="U155" s="670"/>
      <c r="V155" s="459"/>
      <c r="W155" s="805">
        <f>T155*Q155*N155*K155</f>
        <v>6.9</v>
      </c>
      <c r="X155" s="689"/>
      <c r="Y155" s="804"/>
      <c r="Z155" s="805">
        <f>P113+T98+((2/3)*(T113-T98))</f>
        <v>1.1333333333333333</v>
      </c>
      <c r="AA155" s="689"/>
      <c r="AB155" s="689"/>
      <c r="AC155" s="689"/>
      <c r="AD155" s="689"/>
      <c r="AE155" s="804"/>
      <c r="AF155" s="666">
        <f>Z155*W155</f>
        <v>7.82</v>
      </c>
      <c r="AG155" s="666"/>
      <c r="AH155" s="666"/>
      <c r="AI155" s="666"/>
      <c r="AJ155" s="666"/>
      <c r="AK155" s="666"/>
      <c r="AL155" s="666"/>
      <c r="AM155" s="666"/>
    </row>
    <row r="156" spans="1:39" s="457" customFormat="1" x14ac:dyDescent="0.35">
      <c r="A156" s="460"/>
      <c r="B156" s="460"/>
      <c r="C156" s="830">
        <v>9</v>
      </c>
      <c r="D156" s="830"/>
      <c r="E156" s="838" t="s">
        <v>490</v>
      </c>
      <c r="F156" s="838"/>
      <c r="G156" s="838"/>
      <c r="H156" s="838"/>
      <c r="I156" s="838"/>
      <c r="J156" s="459"/>
      <c r="K156" s="729">
        <v>0.5</v>
      </c>
      <c r="L156" s="729"/>
      <c r="M156" s="461" t="s">
        <v>21</v>
      </c>
      <c r="N156" s="669">
        <f>Z113</f>
        <v>2.8</v>
      </c>
      <c r="O156" s="669"/>
      <c r="P156" s="459" t="s">
        <v>21</v>
      </c>
      <c r="Q156" s="716">
        <f>Q151</f>
        <v>0.15000000000000002</v>
      </c>
      <c r="R156" s="716"/>
      <c r="S156" s="459" t="s">
        <v>21</v>
      </c>
      <c r="T156" s="670">
        <f>T155</f>
        <v>20</v>
      </c>
      <c r="U156" s="670"/>
      <c r="V156" s="459"/>
      <c r="W156" s="805">
        <f>T156*Q156*N156*K156</f>
        <v>4.2</v>
      </c>
      <c r="X156" s="689"/>
      <c r="Y156" s="804"/>
      <c r="Z156" s="805">
        <f>P113+T113+(Z113*(2/3))</f>
        <v>3.0666666666666664</v>
      </c>
      <c r="AA156" s="689"/>
      <c r="AB156" s="689"/>
      <c r="AC156" s="689"/>
      <c r="AD156" s="689"/>
      <c r="AE156" s="804"/>
      <c r="AF156" s="666">
        <f>Z156*W156</f>
        <v>12.879999999999999</v>
      </c>
      <c r="AG156" s="666"/>
      <c r="AH156" s="666"/>
      <c r="AI156" s="666"/>
      <c r="AJ156" s="666"/>
      <c r="AK156" s="666"/>
      <c r="AL156" s="666"/>
      <c r="AM156" s="666"/>
    </row>
    <row r="157" spans="1:39" s="542" customFormat="1" x14ac:dyDescent="0.35">
      <c r="A157" s="543"/>
      <c r="B157" s="543"/>
      <c r="C157" s="830">
        <v>10</v>
      </c>
      <c r="D157" s="830"/>
      <c r="E157" s="838" t="s">
        <v>491</v>
      </c>
      <c r="F157" s="838"/>
      <c r="G157" s="838"/>
      <c r="H157" s="838"/>
      <c r="I157" s="838"/>
      <c r="J157" s="540"/>
      <c r="K157" s="729">
        <v>0.5</v>
      </c>
      <c r="L157" s="729"/>
      <c r="M157" s="541" t="s">
        <v>21</v>
      </c>
      <c r="N157" s="669">
        <f>N156</f>
        <v>2.8</v>
      </c>
      <c r="O157" s="669"/>
      <c r="P157" s="540" t="s">
        <v>21</v>
      </c>
      <c r="Q157" s="716">
        <f>AA103-G104</f>
        <v>0</v>
      </c>
      <c r="R157" s="716"/>
      <c r="S157" s="540" t="s">
        <v>21</v>
      </c>
      <c r="T157" s="670">
        <f>T156</f>
        <v>20</v>
      </c>
      <c r="U157" s="670"/>
      <c r="V157" s="540"/>
      <c r="W157" s="805">
        <f>(AA103-G104)*T156*Z113</f>
        <v>0</v>
      </c>
      <c r="X157" s="689"/>
      <c r="Y157" s="804"/>
      <c r="Z157" s="805">
        <f>P113+T98+(2*Z113/3)</f>
        <v>2.8666666666666663</v>
      </c>
      <c r="AA157" s="689"/>
      <c r="AB157" s="689"/>
      <c r="AC157" s="689"/>
      <c r="AD157" s="689"/>
      <c r="AE157" s="804"/>
      <c r="AF157" s="666">
        <f>Z157*W157</f>
        <v>0</v>
      </c>
      <c r="AG157" s="666"/>
      <c r="AH157" s="666"/>
      <c r="AI157" s="666"/>
      <c r="AJ157" s="666"/>
      <c r="AK157" s="666"/>
      <c r="AL157" s="666"/>
      <c r="AM157" s="666"/>
    </row>
    <row r="158" spans="1:39" s="457" customFormat="1" x14ac:dyDescent="0.35">
      <c r="A158" s="460"/>
      <c r="B158" s="460"/>
      <c r="C158" s="830">
        <v>11</v>
      </c>
      <c r="D158" s="830"/>
      <c r="E158" s="838" t="s">
        <v>493</v>
      </c>
      <c r="F158" s="838"/>
      <c r="G158" s="838"/>
      <c r="H158" s="838"/>
      <c r="I158" s="838"/>
      <c r="J158" s="459"/>
      <c r="K158" s="729">
        <v>0.5</v>
      </c>
      <c r="L158" s="729"/>
      <c r="M158" s="461" t="s">
        <v>21</v>
      </c>
      <c r="N158" s="669">
        <f>P113</f>
        <v>0.7</v>
      </c>
      <c r="O158" s="669"/>
      <c r="P158" s="459" t="s">
        <v>21</v>
      </c>
      <c r="Q158" s="716">
        <f>Q156</f>
        <v>0.15000000000000002</v>
      </c>
      <c r="R158" s="716"/>
      <c r="S158" s="459" t="s">
        <v>21</v>
      </c>
      <c r="T158" s="670">
        <f>T156</f>
        <v>20</v>
      </c>
      <c r="U158" s="670"/>
      <c r="V158" s="459"/>
      <c r="W158" s="805">
        <f>T158*Q158*N158*K158*0</f>
        <v>0</v>
      </c>
      <c r="X158" s="689"/>
      <c r="Y158" s="804"/>
      <c r="Z158" s="805">
        <f>(1/3)*P113</f>
        <v>0.23333333333333331</v>
      </c>
      <c r="AA158" s="689"/>
      <c r="AB158" s="689"/>
      <c r="AC158" s="689"/>
      <c r="AD158" s="689"/>
      <c r="AE158" s="804"/>
      <c r="AF158" s="666">
        <f>Z158*W158</f>
        <v>0</v>
      </c>
      <c r="AG158" s="666"/>
      <c r="AH158" s="666"/>
      <c r="AI158" s="666"/>
      <c r="AJ158" s="666"/>
      <c r="AK158" s="666"/>
      <c r="AL158" s="666"/>
      <c r="AM158" s="666"/>
    </row>
    <row r="159" spans="1:39" s="457" customFormat="1" x14ac:dyDescent="0.35">
      <c r="A159" s="460"/>
      <c r="B159" s="460"/>
      <c r="C159" s="830">
        <v>12</v>
      </c>
      <c r="D159" s="830"/>
      <c r="E159" s="838" t="s">
        <v>546</v>
      </c>
      <c r="F159" s="838"/>
      <c r="G159" s="838"/>
      <c r="H159" s="838"/>
      <c r="I159" s="838"/>
      <c r="J159" s="459"/>
      <c r="K159" s="729"/>
      <c r="L159" s="729"/>
      <c r="M159" s="461"/>
      <c r="N159" s="669">
        <f>P113</f>
        <v>0.7</v>
      </c>
      <c r="O159" s="669"/>
      <c r="P159" s="459" t="s">
        <v>21</v>
      </c>
      <c r="Q159" s="716">
        <f>J110-G110</f>
        <v>0.95</v>
      </c>
      <c r="R159" s="716"/>
      <c r="S159" s="459" t="s">
        <v>21</v>
      </c>
      <c r="T159" s="670">
        <f>T158</f>
        <v>20</v>
      </c>
      <c r="U159" s="670"/>
      <c r="V159" s="459"/>
      <c r="W159" s="805">
        <f>T159*Q159*N159*0</f>
        <v>0</v>
      </c>
      <c r="X159" s="689"/>
      <c r="Y159" s="804"/>
      <c r="Z159" s="805">
        <f>P113/2</f>
        <v>0.35</v>
      </c>
      <c r="AA159" s="689"/>
      <c r="AB159" s="689"/>
      <c r="AC159" s="689"/>
      <c r="AD159" s="689"/>
      <c r="AE159" s="804"/>
      <c r="AF159" s="666">
        <f>Z159*W159</f>
        <v>0</v>
      </c>
      <c r="AG159" s="666"/>
      <c r="AH159" s="666"/>
      <c r="AI159" s="666"/>
      <c r="AJ159" s="666"/>
      <c r="AK159" s="666"/>
      <c r="AL159" s="666"/>
      <c r="AM159" s="666"/>
    </row>
    <row r="160" spans="1:39" s="457" customFormat="1" x14ac:dyDescent="0.35">
      <c r="A160" s="460"/>
      <c r="B160" s="460"/>
      <c r="C160" s="830">
        <v>13</v>
      </c>
      <c r="D160" s="830"/>
      <c r="E160" s="146" t="s">
        <v>541</v>
      </c>
      <c r="F160" s="144"/>
      <c r="G160" s="144"/>
      <c r="H160" s="144"/>
      <c r="I160" s="105"/>
      <c r="J160" s="462"/>
      <c r="K160" s="142"/>
      <c r="L160" s="458"/>
      <c r="M160" s="461"/>
      <c r="N160" s="143"/>
      <c r="O160" s="143"/>
      <c r="P160" s="515"/>
      <c r="Q160" s="523"/>
      <c r="R160" s="523"/>
      <c r="S160" s="523"/>
      <c r="T160" s="524"/>
      <c r="U160" s="524"/>
      <c r="V160" s="525"/>
      <c r="W160" s="805">
        <f>(L131/U32)*U33</f>
        <v>16.263812286821452</v>
      </c>
      <c r="X160" s="689"/>
      <c r="Y160" s="804"/>
      <c r="Z160" s="804">
        <f>Q114</f>
        <v>4</v>
      </c>
      <c r="AA160" s="666"/>
      <c r="AB160" s="666"/>
      <c r="AC160" s="666"/>
      <c r="AD160" s="666"/>
      <c r="AE160" s="805"/>
      <c r="AF160" s="666">
        <f>W160*Z160</f>
        <v>65.055249147285807</v>
      </c>
      <c r="AG160" s="666"/>
      <c r="AH160" s="666"/>
      <c r="AI160" s="666"/>
      <c r="AJ160" s="666"/>
      <c r="AK160" s="666"/>
      <c r="AL160" s="666"/>
      <c r="AM160" s="666"/>
    </row>
    <row r="161" spans="1:71" ht="15" customHeight="1" x14ac:dyDescent="0.35">
      <c r="A161" s="42"/>
      <c r="B161" s="42"/>
      <c r="C161" s="421"/>
      <c r="D161" s="419"/>
      <c r="E161" s="419"/>
      <c r="F161" s="419"/>
      <c r="G161" s="419"/>
      <c r="H161" s="419"/>
      <c r="I161" s="419"/>
      <c r="J161" s="419"/>
      <c r="K161" s="419"/>
      <c r="L161" s="419"/>
      <c r="M161" s="419"/>
      <c r="N161" s="419"/>
      <c r="O161" s="419"/>
      <c r="P161" s="419"/>
      <c r="Q161" s="419"/>
      <c r="R161" s="419"/>
      <c r="S161" s="419"/>
      <c r="T161" s="419" t="s">
        <v>73</v>
      </c>
      <c r="U161" s="419"/>
      <c r="V161" s="420"/>
      <c r="W161" s="690">
        <f>SUM(W148:Y160)</f>
        <v>303.50131228682142</v>
      </c>
      <c r="X161" s="691"/>
      <c r="Y161" s="895"/>
      <c r="Z161" s="172"/>
      <c r="AA161" s="173"/>
      <c r="AB161" s="173"/>
      <c r="AC161" s="173"/>
      <c r="AD161" s="173" t="s">
        <v>72</v>
      </c>
      <c r="AE161" s="173"/>
      <c r="AF161" s="691">
        <f>SUM(AF148:AM160)</f>
        <v>712.86274914728574</v>
      </c>
      <c r="AG161" s="691"/>
      <c r="AH161" s="691"/>
      <c r="AI161" s="691"/>
      <c r="AJ161" s="691"/>
      <c r="AK161" s="691"/>
      <c r="AL161" s="691"/>
      <c r="AM161" s="895"/>
    </row>
    <row r="162" spans="1:71" s="322" customFormat="1" ht="15" customHeight="1" x14ac:dyDescent="0.35">
      <c r="A162" s="321"/>
      <c r="B162" s="321"/>
      <c r="C162" s="321"/>
      <c r="D162" s="321"/>
      <c r="E162" s="321"/>
      <c r="F162" s="321"/>
      <c r="G162" s="321"/>
      <c r="H162" s="321"/>
      <c r="I162" s="321"/>
      <c r="J162" s="321"/>
      <c r="K162" s="321"/>
      <c r="L162" s="321"/>
      <c r="M162" s="321"/>
      <c r="N162" s="321"/>
      <c r="O162" s="321"/>
      <c r="P162" s="321"/>
      <c r="Q162" s="321"/>
      <c r="R162" s="321"/>
      <c r="S162" s="321"/>
      <c r="T162" s="321"/>
      <c r="U162" s="321"/>
      <c r="V162" s="321"/>
      <c r="W162" s="343"/>
      <c r="X162" s="343"/>
      <c r="Y162" s="343"/>
      <c r="Z162" s="344"/>
      <c r="AA162" s="344"/>
      <c r="AB162" s="344"/>
      <c r="AC162" s="344"/>
      <c r="AD162" s="344"/>
      <c r="AE162" s="344"/>
      <c r="AF162" s="324"/>
      <c r="AG162" s="324"/>
      <c r="AH162" s="324"/>
      <c r="AI162" s="324"/>
      <c r="AJ162" s="324"/>
      <c r="AK162" s="324"/>
      <c r="AL162" s="324"/>
      <c r="AM162" s="324"/>
    </row>
    <row r="163" spans="1:71" s="322" customFormat="1" ht="15" customHeight="1" x14ac:dyDescent="0.35">
      <c r="A163" s="321"/>
      <c r="B163" s="321"/>
      <c r="C163" s="345" t="s">
        <v>374</v>
      </c>
      <c r="D163" s="321"/>
      <c r="E163" s="321"/>
      <c r="F163" s="321"/>
      <c r="G163" s="321"/>
      <c r="H163" s="321"/>
      <c r="I163" s="321"/>
      <c r="J163" s="321"/>
      <c r="K163" s="321"/>
      <c r="L163" s="321"/>
      <c r="M163" s="321"/>
      <c r="N163" s="321"/>
      <c r="O163" s="321"/>
      <c r="P163" s="321"/>
      <c r="Q163" s="321"/>
      <c r="R163" s="321"/>
      <c r="S163" s="321"/>
      <c r="T163" s="321"/>
      <c r="U163" s="321"/>
      <c r="V163" s="321"/>
      <c r="W163" s="343"/>
      <c r="X163" s="343"/>
      <c r="Y163" s="343"/>
      <c r="Z163" s="344"/>
      <c r="AA163" s="344"/>
      <c r="AB163" s="344"/>
      <c r="AC163" s="344"/>
      <c r="AD163" s="344"/>
      <c r="AE163" s="344"/>
      <c r="AF163" s="324"/>
      <c r="AG163" s="324"/>
      <c r="AH163" s="324"/>
      <c r="AI163" s="324"/>
      <c r="AJ163" s="324"/>
      <c r="AK163" s="324"/>
      <c r="AL163" s="324"/>
      <c r="AM163" s="324"/>
    </row>
    <row r="164" spans="1:71" s="322" customFormat="1" ht="15" customHeight="1" x14ac:dyDescent="0.35">
      <c r="A164" s="321"/>
      <c r="B164" s="321"/>
      <c r="D164" s="415" t="s">
        <v>511</v>
      </c>
      <c r="E164" s="305"/>
      <c r="F164" s="305"/>
      <c r="G164" s="305"/>
      <c r="H164" s="305"/>
      <c r="I164" s="305"/>
      <c r="J164" s="305"/>
      <c r="K164" s="305"/>
      <c r="L164" s="305"/>
      <c r="M164" s="305"/>
      <c r="N164" s="305"/>
      <c r="O164" s="305"/>
      <c r="P164" s="305"/>
      <c r="Q164" s="305"/>
      <c r="R164" s="305"/>
      <c r="S164" s="305"/>
      <c r="T164" s="305"/>
      <c r="U164" s="305"/>
      <c r="V164" s="305"/>
      <c r="W164" s="305"/>
      <c r="X164" s="305"/>
      <c r="Y164" s="305"/>
      <c r="Z164" s="305"/>
      <c r="AA164" s="305"/>
      <c r="AB164" s="36"/>
      <c r="AC164" s="36"/>
      <c r="AD164" s="36"/>
      <c r="AE164" s="36"/>
      <c r="AF164" s="36"/>
      <c r="AG164" s="324"/>
      <c r="AH164" s="324"/>
      <c r="AI164" s="324"/>
      <c r="AJ164" s="324"/>
      <c r="AK164" s="324"/>
      <c r="AL164" s="324"/>
      <c r="AM164" s="324"/>
      <c r="AT164" s="213" t="s">
        <v>511</v>
      </c>
    </row>
    <row r="165" spans="1:71" s="322" customFormat="1" ht="6" customHeight="1" x14ac:dyDescent="0.35">
      <c r="A165" s="321"/>
      <c r="B165" s="321"/>
      <c r="C165" s="213"/>
      <c r="AB165" s="36"/>
      <c r="AC165" s="36"/>
      <c r="AD165" s="36"/>
      <c r="AE165" s="36"/>
      <c r="AF165" s="36"/>
      <c r="AG165" s="324"/>
      <c r="AH165" s="324"/>
      <c r="AI165" s="324"/>
      <c r="AJ165" s="324"/>
      <c r="AK165" s="324"/>
      <c r="AL165" s="324"/>
      <c r="AM165" s="324"/>
    </row>
    <row r="166" spans="1:71" s="322" customFormat="1" ht="15" customHeight="1" x14ac:dyDescent="0.35">
      <c r="A166" s="321"/>
      <c r="B166" s="321"/>
      <c r="C166" s="342" t="s">
        <v>550</v>
      </c>
      <c r="D166" s="305"/>
      <c r="E166" s="305"/>
      <c r="F166" s="305"/>
      <c r="G166" s="305"/>
      <c r="H166" s="305"/>
      <c r="I166" s="305"/>
      <c r="J166" s="305"/>
      <c r="K166" s="305"/>
      <c r="L166" s="305"/>
      <c r="M166" s="305"/>
      <c r="N166" s="305"/>
      <c r="O166" s="305"/>
      <c r="P166" s="305"/>
      <c r="Q166" s="305"/>
      <c r="R166" s="305"/>
      <c r="S166" s="305"/>
      <c r="T166" s="305"/>
      <c r="U166" s="305"/>
      <c r="V166" s="305"/>
      <c r="W166" s="305"/>
      <c r="X166" s="305"/>
      <c r="Y166" s="305"/>
      <c r="Z166" s="305"/>
      <c r="AA166" s="305"/>
      <c r="AB166" s="36"/>
      <c r="AC166" s="36"/>
      <c r="AD166" s="36"/>
      <c r="AE166" s="36"/>
      <c r="AF166" s="36"/>
      <c r="AG166" s="324"/>
      <c r="AH166" s="324"/>
      <c r="AI166" s="324"/>
      <c r="AJ166" s="324"/>
      <c r="AK166" s="324"/>
      <c r="AL166" s="324"/>
      <c r="AM166" s="324"/>
    </row>
    <row r="167" spans="1:71" s="322" customFormat="1" ht="15" customHeight="1" x14ac:dyDescent="0.35">
      <c r="A167" s="321"/>
      <c r="B167" s="321"/>
      <c r="C167" s="668" t="s">
        <v>355</v>
      </c>
      <c r="D167" s="668"/>
      <c r="E167" s="668"/>
      <c r="F167" s="668"/>
      <c r="G167" s="668"/>
      <c r="H167" s="668"/>
      <c r="I167" s="668"/>
      <c r="J167" s="668" t="s">
        <v>542</v>
      </c>
      <c r="K167" s="668"/>
      <c r="L167" s="668"/>
      <c r="M167" s="668"/>
      <c r="N167" s="668"/>
      <c r="O167" s="668"/>
      <c r="P167" s="668" t="s">
        <v>358</v>
      </c>
      <c r="Q167" s="668"/>
      <c r="R167" s="668"/>
      <c r="S167" s="668"/>
      <c r="T167" s="668"/>
      <c r="U167" s="668"/>
      <c r="V167" s="668" t="s">
        <v>357</v>
      </c>
      <c r="W167" s="668"/>
      <c r="X167" s="668"/>
      <c r="Y167" s="668"/>
      <c r="Z167" s="668"/>
      <c r="AA167" s="668"/>
      <c r="AB167" s="36"/>
      <c r="AC167" s="36"/>
      <c r="AD167" s="36"/>
      <c r="AE167" s="36"/>
      <c r="AF167" s="36"/>
      <c r="AG167" s="324"/>
      <c r="AH167" s="324"/>
      <c r="AI167" s="324"/>
      <c r="AJ167" s="324"/>
      <c r="AK167" s="324"/>
      <c r="AL167" s="324"/>
      <c r="AM167" s="324"/>
      <c r="AU167" s="668" t="s">
        <v>355</v>
      </c>
      <c r="AV167" s="668"/>
      <c r="AW167" s="668"/>
      <c r="AX167" s="668"/>
      <c r="AY167" s="668"/>
      <c r="AZ167" s="668"/>
      <c r="BA167" s="668"/>
      <c r="BB167" s="668" t="s">
        <v>356</v>
      </c>
      <c r="BC167" s="668"/>
      <c r="BD167" s="668"/>
      <c r="BE167" s="668"/>
      <c r="BF167" s="668"/>
      <c r="BG167" s="668"/>
      <c r="BH167" s="668" t="s">
        <v>358</v>
      </c>
      <c r="BI167" s="668"/>
      <c r="BJ167" s="668"/>
      <c r="BK167" s="668"/>
      <c r="BL167" s="668"/>
      <c r="BM167" s="668"/>
      <c r="BN167" s="668" t="s">
        <v>357</v>
      </c>
      <c r="BO167" s="668"/>
      <c r="BP167" s="668"/>
      <c r="BQ167" s="668"/>
      <c r="BR167" s="668"/>
      <c r="BS167" s="668"/>
    </row>
    <row r="168" spans="1:71" s="322" customFormat="1" ht="15" customHeight="1" x14ac:dyDescent="0.35">
      <c r="A168" s="321"/>
      <c r="B168" s="321"/>
      <c r="C168" s="668"/>
      <c r="D168" s="668"/>
      <c r="E168" s="668"/>
      <c r="F168" s="668"/>
      <c r="G168" s="668"/>
      <c r="H168" s="668"/>
      <c r="I168" s="668"/>
      <c r="J168" s="668" t="s">
        <v>334</v>
      </c>
      <c r="K168" s="668"/>
      <c r="L168" s="668"/>
      <c r="M168" s="668"/>
      <c r="N168" s="668"/>
      <c r="O168" s="668"/>
      <c r="P168" s="668" t="s">
        <v>276</v>
      </c>
      <c r="Q168" s="668"/>
      <c r="R168" s="668"/>
      <c r="S168" s="668"/>
      <c r="T168" s="668"/>
      <c r="U168" s="668"/>
      <c r="V168" s="668" t="s">
        <v>276</v>
      </c>
      <c r="W168" s="668"/>
      <c r="X168" s="668"/>
      <c r="Y168" s="668"/>
      <c r="Z168" s="668"/>
      <c r="AA168" s="668"/>
      <c r="AB168" s="36"/>
      <c r="AC168" s="36"/>
      <c r="AD168" s="36"/>
      <c r="AE168" s="36"/>
      <c r="AF168" s="36"/>
      <c r="AG168" s="324"/>
      <c r="AH168" s="324"/>
      <c r="AI168" s="324"/>
      <c r="AJ168" s="324"/>
      <c r="AK168" s="324"/>
      <c r="AL168" s="324"/>
      <c r="AM168" s="324"/>
      <c r="AU168" s="668"/>
      <c r="AV168" s="668"/>
      <c r="AW168" s="668"/>
      <c r="AX168" s="668"/>
      <c r="AY168" s="668"/>
      <c r="AZ168" s="668"/>
      <c r="BA168" s="668"/>
      <c r="BB168" s="668" t="s">
        <v>276</v>
      </c>
      <c r="BC168" s="668"/>
      <c r="BD168" s="668"/>
      <c r="BE168" s="668"/>
      <c r="BF168" s="668"/>
      <c r="BG168" s="668"/>
      <c r="BH168" s="668" t="s">
        <v>276</v>
      </c>
      <c r="BI168" s="668"/>
      <c r="BJ168" s="668"/>
      <c r="BK168" s="668"/>
      <c r="BL168" s="668"/>
      <c r="BM168" s="668"/>
      <c r="BN168" s="668" t="s">
        <v>276</v>
      </c>
      <c r="BO168" s="668"/>
      <c r="BP168" s="668"/>
      <c r="BQ168" s="668"/>
      <c r="BR168" s="668"/>
      <c r="BS168" s="668"/>
    </row>
    <row r="169" spans="1:71" s="322" customFormat="1" ht="15" customHeight="1" x14ac:dyDescent="0.35">
      <c r="A169" s="321"/>
      <c r="B169" s="321"/>
      <c r="C169" s="820" t="s">
        <v>359</v>
      </c>
      <c r="D169" s="820"/>
      <c r="E169" s="820"/>
      <c r="F169" s="820"/>
      <c r="G169" s="820"/>
      <c r="H169" s="820"/>
      <c r="I169" s="820"/>
      <c r="J169" s="816">
        <v>1.1000000000000001</v>
      </c>
      <c r="K169" s="729"/>
      <c r="L169" s="729"/>
      <c r="M169" s="729"/>
      <c r="N169" s="729"/>
      <c r="O169" s="755"/>
      <c r="P169" s="817">
        <v>1</v>
      </c>
      <c r="Q169" s="818"/>
      <c r="R169" s="818"/>
      <c r="S169" s="818"/>
      <c r="T169" s="818"/>
      <c r="U169" s="819"/>
      <c r="V169" s="817">
        <v>1.1000000000000001</v>
      </c>
      <c r="W169" s="818"/>
      <c r="X169" s="818"/>
      <c r="Y169" s="818"/>
      <c r="Z169" s="818"/>
      <c r="AA169" s="819"/>
      <c r="AB169" s="36"/>
      <c r="AC169" s="36"/>
      <c r="AD169" s="36"/>
      <c r="AE169" s="36"/>
      <c r="AF169" s="36"/>
      <c r="AG169" s="324"/>
      <c r="AH169" s="324"/>
      <c r="AI169" s="324"/>
      <c r="AJ169" s="324"/>
      <c r="AK169" s="324"/>
      <c r="AL169" s="324"/>
      <c r="AM169" s="324"/>
      <c r="AU169" s="820" t="s">
        <v>359</v>
      </c>
      <c r="AV169" s="820"/>
      <c r="AW169" s="820"/>
      <c r="AX169" s="820"/>
      <c r="AY169" s="820"/>
      <c r="AZ169" s="820"/>
      <c r="BA169" s="820"/>
      <c r="BB169" s="667">
        <v>1.1000000000000001</v>
      </c>
      <c r="BC169" s="667"/>
      <c r="BD169" s="667"/>
      <c r="BE169" s="667"/>
      <c r="BF169" s="667"/>
      <c r="BG169" s="667"/>
      <c r="BH169" s="924">
        <v>1</v>
      </c>
      <c r="BI169" s="924"/>
      <c r="BJ169" s="924"/>
      <c r="BK169" s="924"/>
      <c r="BL169" s="924"/>
      <c r="BM169" s="924"/>
      <c r="BN169" s="924">
        <v>1.1000000000000001</v>
      </c>
      <c r="BO169" s="924"/>
      <c r="BP169" s="924"/>
      <c r="BQ169" s="924"/>
      <c r="BR169" s="924"/>
      <c r="BS169" s="924"/>
    </row>
    <row r="170" spans="1:71" s="322" customFormat="1" ht="15" customHeight="1" x14ac:dyDescent="0.35">
      <c r="A170" s="321"/>
      <c r="B170" s="321"/>
      <c r="C170" s="820" t="s">
        <v>360</v>
      </c>
      <c r="D170" s="820"/>
      <c r="E170" s="820"/>
      <c r="F170" s="820"/>
      <c r="G170" s="820"/>
      <c r="H170" s="820"/>
      <c r="I170" s="820"/>
      <c r="J170" s="816">
        <v>1.5</v>
      </c>
      <c r="K170" s="729"/>
      <c r="L170" s="729"/>
      <c r="M170" s="729"/>
      <c r="N170" s="729"/>
      <c r="O170" s="755"/>
      <c r="P170" s="817">
        <v>1</v>
      </c>
      <c r="Q170" s="818"/>
      <c r="R170" s="818"/>
      <c r="S170" s="818"/>
      <c r="T170" s="818"/>
      <c r="U170" s="819"/>
      <c r="V170" s="817">
        <v>1</v>
      </c>
      <c r="W170" s="818"/>
      <c r="X170" s="818"/>
      <c r="Y170" s="818"/>
      <c r="Z170" s="818"/>
      <c r="AA170" s="819"/>
      <c r="AB170" s="36"/>
      <c r="AC170" s="36"/>
      <c r="AD170" s="36"/>
      <c r="AE170" s="36"/>
      <c r="AF170" s="36"/>
      <c r="AG170" s="324"/>
      <c r="AH170" s="324"/>
      <c r="AI170" s="324"/>
      <c r="AJ170" s="324"/>
      <c r="AK170" s="324"/>
      <c r="AL170" s="324"/>
      <c r="AM170" s="324"/>
      <c r="AU170" s="820" t="s">
        <v>360</v>
      </c>
      <c r="AV170" s="820"/>
      <c r="AW170" s="820"/>
      <c r="AX170" s="820"/>
      <c r="AY170" s="820"/>
      <c r="AZ170" s="820"/>
      <c r="BA170" s="820"/>
      <c r="BB170" s="667">
        <v>1.5</v>
      </c>
      <c r="BC170" s="667"/>
      <c r="BD170" s="667"/>
      <c r="BE170" s="667"/>
      <c r="BF170" s="667"/>
      <c r="BG170" s="667"/>
      <c r="BH170" s="924">
        <v>1</v>
      </c>
      <c r="BI170" s="924"/>
      <c r="BJ170" s="924"/>
      <c r="BK170" s="924"/>
      <c r="BL170" s="924"/>
      <c r="BM170" s="924"/>
      <c r="BN170" s="924">
        <v>1</v>
      </c>
      <c r="BO170" s="924"/>
      <c r="BP170" s="924"/>
      <c r="BQ170" s="924"/>
      <c r="BR170" s="924"/>
      <c r="BS170" s="924"/>
    </row>
    <row r="171" spans="1:71" s="322" customFormat="1" ht="15" customHeight="1" x14ac:dyDescent="0.35">
      <c r="A171" s="321"/>
      <c r="B171" s="321"/>
      <c r="C171" s="820" t="s">
        <v>361</v>
      </c>
      <c r="D171" s="820"/>
      <c r="E171" s="820"/>
      <c r="F171" s="820"/>
      <c r="G171" s="820"/>
      <c r="H171" s="820"/>
      <c r="I171" s="820"/>
      <c r="J171" s="816">
        <v>1.2</v>
      </c>
      <c r="K171" s="729"/>
      <c r="L171" s="729"/>
      <c r="M171" s="729"/>
      <c r="N171" s="729"/>
      <c r="O171" s="755"/>
      <c r="P171" s="817">
        <v>0</v>
      </c>
      <c r="Q171" s="818"/>
      <c r="R171" s="818"/>
      <c r="S171" s="818"/>
      <c r="T171" s="818"/>
      <c r="U171" s="819"/>
      <c r="V171" s="817">
        <v>0</v>
      </c>
      <c r="W171" s="818"/>
      <c r="X171" s="818"/>
      <c r="Y171" s="818"/>
      <c r="Z171" s="818"/>
      <c r="AA171" s="819"/>
      <c r="AB171" s="36"/>
      <c r="AC171" s="36"/>
      <c r="AD171" s="36"/>
      <c r="AE171" s="36"/>
      <c r="AF171" s="36"/>
      <c r="AG171" s="324"/>
      <c r="AH171" s="324"/>
      <c r="AI171" s="324"/>
      <c r="AJ171" s="324"/>
      <c r="AK171" s="324"/>
      <c r="AL171" s="324"/>
      <c r="AM171" s="324"/>
      <c r="AU171" s="820" t="s">
        <v>361</v>
      </c>
      <c r="AV171" s="820"/>
      <c r="AW171" s="820"/>
      <c r="AX171" s="820"/>
      <c r="AY171" s="820"/>
      <c r="AZ171" s="820"/>
      <c r="BA171" s="820"/>
      <c r="BB171" s="667">
        <v>1.2</v>
      </c>
      <c r="BC171" s="667"/>
      <c r="BD171" s="667"/>
      <c r="BE171" s="667"/>
      <c r="BF171" s="667"/>
      <c r="BG171" s="667"/>
      <c r="BH171" s="924">
        <v>0</v>
      </c>
      <c r="BI171" s="924"/>
      <c r="BJ171" s="924"/>
      <c r="BK171" s="924"/>
      <c r="BL171" s="924"/>
      <c r="BM171" s="924"/>
      <c r="BN171" s="924">
        <v>0</v>
      </c>
      <c r="BO171" s="924"/>
      <c r="BP171" s="924"/>
      <c r="BQ171" s="924"/>
      <c r="BR171" s="924"/>
      <c r="BS171" s="924"/>
    </row>
    <row r="172" spans="1:71" s="322" customFormat="1" ht="15" customHeight="1" x14ac:dyDescent="0.35">
      <c r="A172" s="321"/>
      <c r="B172" s="321"/>
      <c r="C172" s="321"/>
      <c r="D172" s="321"/>
      <c r="E172" s="321"/>
      <c r="F172" s="321"/>
      <c r="G172" s="321"/>
      <c r="H172" s="321"/>
      <c r="I172" s="321"/>
      <c r="J172" s="321"/>
      <c r="K172" s="321"/>
      <c r="L172" s="321"/>
      <c r="M172" s="321"/>
      <c r="N172" s="321"/>
      <c r="O172" s="321"/>
      <c r="P172" s="321"/>
      <c r="Q172" s="321"/>
      <c r="R172" s="321"/>
      <c r="S172" s="321"/>
      <c r="T172" s="321"/>
      <c r="U172" s="321"/>
      <c r="V172" s="321"/>
      <c r="W172" s="343"/>
      <c r="X172" s="343"/>
      <c r="Y172" s="343"/>
      <c r="Z172" s="344"/>
      <c r="AA172" s="344"/>
      <c r="AB172" s="344"/>
      <c r="AC172" s="344"/>
      <c r="AD172" s="344"/>
      <c r="AE172" s="344"/>
      <c r="AF172" s="324"/>
      <c r="AG172" s="324"/>
      <c r="AH172" s="324"/>
      <c r="AI172" s="324"/>
      <c r="AJ172" s="324"/>
      <c r="AK172" s="324"/>
      <c r="AL172" s="324"/>
      <c r="AM172" s="324"/>
    </row>
    <row r="173" spans="1:71" s="550" customFormat="1" ht="15" customHeight="1" x14ac:dyDescent="0.35">
      <c r="A173" s="551"/>
      <c r="B173" s="551"/>
      <c r="C173" s="342" t="s">
        <v>551</v>
      </c>
      <c r="AB173" s="344"/>
      <c r="AC173" s="344"/>
      <c r="AD173" s="344"/>
      <c r="AE173" s="344"/>
      <c r="AF173" s="555"/>
      <c r="AG173" s="555"/>
      <c r="AH173" s="555"/>
      <c r="AI173" s="555"/>
      <c r="AJ173" s="555"/>
      <c r="AK173" s="555"/>
      <c r="AL173" s="555"/>
      <c r="AM173" s="555"/>
    </row>
    <row r="174" spans="1:71" s="550" customFormat="1" ht="15" customHeight="1" x14ac:dyDescent="0.35">
      <c r="A174" s="551"/>
      <c r="B174" s="551"/>
      <c r="C174" s="668" t="s">
        <v>355</v>
      </c>
      <c r="D174" s="668"/>
      <c r="E174" s="668"/>
      <c r="F174" s="668"/>
      <c r="G174" s="668"/>
      <c r="H174" s="668"/>
      <c r="I174" s="668"/>
      <c r="J174" s="668" t="s">
        <v>542</v>
      </c>
      <c r="K174" s="668"/>
      <c r="L174" s="668"/>
      <c r="M174" s="668"/>
      <c r="N174" s="668"/>
      <c r="O174" s="668"/>
      <c r="P174" s="668" t="s">
        <v>358</v>
      </c>
      <c r="Q174" s="668"/>
      <c r="R174" s="668"/>
      <c r="S174" s="668"/>
      <c r="T174" s="668"/>
      <c r="U174" s="668"/>
      <c r="V174" s="668" t="s">
        <v>357</v>
      </c>
      <c r="W174" s="668"/>
      <c r="X174" s="668"/>
      <c r="Y174" s="668"/>
      <c r="Z174" s="668"/>
      <c r="AA174" s="668"/>
      <c r="AB174" s="344"/>
      <c r="AC174" s="344"/>
      <c r="AD174" s="344"/>
      <c r="AE174" s="344"/>
      <c r="AF174" s="555"/>
      <c r="AG174" s="555"/>
      <c r="AH174" s="555"/>
      <c r="AI174" s="555"/>
      <c r="AJ174" s="555"/>
      <c r="AK174" s="555"/>
      <c r="AL174" s="555"/>
      <c r="AM174" s="555"/>
    </row>
    <row r="175" spans="1:71" s="550" customFormat="1" ht="15" customHeight="1" x14ac:dyDescent="0.35">
      <c r="A175" s="551"/>
      <c r="B175" s="551"/>
      <c r="C175" s="668"/>
      <c r="D175" s="668"/>
      <c r="E175" s="668"/>
      <c r="F175" s="668"/>
      <c r="G175" s="668"/>
      <c r="H175" s="668"/>
      <c r="I175" s="668"/>
      <c r="J175" s="668" t="s">
        <v>334</v>
      </c>
      <c r="K175" s="668"/>
      <c r="L175" s="668"/>
      <c r="M175" s="668"/>
      <c r="N175" s="668"/>
      <c r="O175" s="668"/>
      <c r="P175" s="668" t="s">
        <v>276</v>
      </c>
      <c r="Q175" s="668"/>
      <c r="R175" s="668"/>
      <c r="S175" s="668"/>
      <c r="T175" s="668"/>
      <c r="U175" s="668"/>
      <c r="V175" s="668" t="s">
        <v>276</v>
      </c>
      <c r="W175" s="668"/>
      <c r="X175" s="668"/>
      <c r="Y175" s="668"/>
      <c r="Z175" s="668"/>
      <c r="AA175" s="668"/>
      <c r="AB175" s="344"/>
      <c r="AC175" s="344"/>
      <c r="AD175" s="344"/>
      <c r="AE175" s="344"/>
      <c r="AF175" s="555"/>
      <c r="AG175" s="555"/>
      <c r="AH175" s="555"/>
      <c r="AI175" s="555"/>
      <c r="AJ175" s="555"/>
      <c r="AK175" s="555"/>
      <c r="AL175" s="555"/>
      <c r="AM175" s="555"/>
    </row>
    <row r="176" spans="1:71" s="550" customFormat="1" ht="15" customHeight="1" x14ac:dyDescent="0.35">
      <c r="A176" s="551"/>
      <c r="B176" s="551"/>
      <c r="C176" s="820" t="s">
        <v>359</v>
      </c>
      <c r="D176" s="820"/>
      <c r="E176" s="820"/>
      <c r="F176" s="820"/>
      <c r="G176" s="820"/>
      <c r="H176" s="820"/>
      <c r="I176" s="820"/>
      <c r="J176" s="816">
        <v>0.9</v>
      </c>
      <c r="K176" s="729"/>
      <c r="L176" s="729"/>
      <c r="M176" s="729"/>
      <c r="N176" s="729"/>
      <c r="O176" s="755"/>
      <c r="P176" s="817">
        <v>1</v>
      </c>
      <c r="Q176" s="818"/>
      <c r="R176" s="818"/>
      <c r="S176" s="818"/>
      <c r="T176" s="818"/>
      <c r="U176" s="819"/>
      <c r="V176" s="817">
        <v>0.9</v>
      </c>
      <c r="W176" s="818"/>
      <c r="X176" s="818"/>
      <c r="Y176" s="818"/>
      <c r="Z176" s="818"/>
      <c r="AA176" s="819"/>
      <c r="AB176" s="344"/>
      <c r="AC176" s="344"/>
      <c r="AD176" s="344"/>
      <c r="AE176" s="344"/>
      <c r="AF176" s="555"/>
      <c r="AG176" s="555"/>
      <c r="AH176" s="555"/>
      <c r="AI176" s="555"/>
      <c r="AJ176" s="555"/>
      <c r="AK176" s="555"/>
      <c r="AL176" s="555"/>
      <c r="AM176" s="555"/>
    </row>
    <row r="177" spans="1:54" s="550" customFormat="1" ht="15" customHeight="1" x14ac:dyDescent="0.35">
      <c r="A177" s="551"/>
      <c r="B177" s="551"/>
      <c r="C177" s="820" t="s">
        <v>360</v>
      </c>
      <c r="D177" s="820"/>
      <c r="E177" s="820"/>
      <c r="F177" s="820"/>
      <c r="G177" s="820"/>
      <c r="H177" s="820"/>
      <c r="I177" s="820"/>
      <c r="J177" s="816">
        <v>1</v>
      </c>
      <c r="K177" s="729"/>
      <c r="L177" s="729"/>
      <c r="M177" s="729"/>
      <c r="N177" s="729"/>
      <c r="O177" s="755"/>
      <c r="P177" s="817">
        <v>1</v>
      </c>
      <c r="Q177" s="818"/>
      <c r="R177" s="818"/>
      <c r="S177" s="818"/>
      <c r="T177" s="818"/>
      <c r="U177" s="819"/>
      <c r="V177" s="817">
        <v>1</v>
      </c>
      <c r="W177" s="818"/>
      <c r="X177" s="818"/>
      <c r="Y177" s="818"/>
      <c r="Z177" s="818"/>
      <c r="AA177" s="819"/>
      <c r="AB177" s="344"/>
      <c r="AC177" s="344"/>
      <c r="AD177" s="344"/>
      <c r="AE177" s="344"/>
      <c r="AF177" s="555"/>
      <c r="AG177" s="555"/>
      <c r="AH177" s="555"/>
      <c r="AI177" s="555"/>
      <c r="AJ177" s="555"/>
      <c r="AK177" s="555"/>
      <c r="AL177" s="555"/>
      <c r="AM177" s="555"/>
    </row>
    <row r="178" spans="1:54" s="550" customFormat="1" ht="15" customHeight="1" x14ac:dyDescent="0.35">
      <c r="A178" s="551"/>
      <c r="B178" s="551"/>
      <c r="C178" s="820" t="s">
        <v>361</v>
      </c>
      <c r="D178" s="820"/>
      <c r="E178" s="820"/>
      <c r="F178" s="820"/>
      <c r="G178" s="820"/>
      <c r="H178" s="820"/>
      <c r="I178" s="820"/>
      <c r="J178" s="816">
        <v>1</v>
      </c>
      <c r="K178" s="729"/>
      <c r="L178" s="729"/>
      <c r="M178" s="729"/>
      <c r="N178" s="729"/>
      <c r="O178" s="755"/>
      <c r="P178" s="817">
        <v>0</v>
      </c>
      <c r="Q178" s="818"/>
      <c r="R178" s="818"/>
      <c r="S178" s="818"/>
      <c r="T178" s="818"/>
      <c r="U178" s="819"/>
      <c r="V178" s="817">
        <v>0</v>
      </c>
      <c r="W178" s="818"/>
      <c r="X178" s="818"/>
      <c r="Y178" s="818"/>
      <c r="Z178" s="818"/>
      <c r="AA178" s="819"/>
      <c r="AB178" s="344"/>
      <c r="AC178" s="344"/>
      <c r="AD178" s="344"/>
      <c r="AE178" s="344"/>
      <c r="AF178" s="555"/>
      <c r="AG178" s="555"/>
      <c r="AH178" s="555"/>
      <c r="AI178" s="555"/>
      <c r="AJ178" s="555"/>
      <c r="AK178" s="555"/>
      <c r="AL178" s="555"/>
      <c r="AM178" s="555"/>
    </row>
    <row r="179" spans="1:54" s="550" customFormat="1" ht="15" customHeight="1" x14ac:dyDescent="0.35">
      <c r="A179" s="551"/>
      <c r="B179" s="551"/>
      <c r="C179" s="551"/>
      <c r="D179" s="551"/>
      <c r="E179" s="551"/>
      <c r="F179" s="551"/>
      <c r="G179" s="551"/>
      <c r="H179" s="551"/>
      <c r="I179" s="551"/>
      <c r="J179" s="551"/>
      <c r="K179" s="551"/>
      <c r="L179" s="551"/>
      <c r="M179" s="551"/>
      <c r="N179" s="551"/>
      <c r="O179" s="551"/>
      <c r="P179" s="551"/>
      <c r="Q179" s="551"/>
      <c r="R179" s="551"/>
      <c r="S179" s="551"/>
      <c r="T179" s="551"/>
      <c r="U179" s="551"/>
      <c r="V179" s="551"/>
      <c r="W179" s="343"/>
      <c r="X179" s="343"/>
      <c r="Y179" s="343"/>
      <c r="Z179" s="344"/>
      <c r="AA179" s="344"/>
      <c r="AB179" s="344"/>
      <c r="AC179" s="344"/>
      <c r="AD179" s="344"/>
      <c r="AE179" s="344"/>
      <c r="AF179" s="555"/>
      <c r="AG179" s="555"/>
      <c r="AH179" s="555"/>
      <c r="AI179" s="555"/>
      <c r="AJ179" s="555"/>
      <c r="AK179" s="555"/>
      <c r="AL179" s="555"/>
      <c r="AM179" s="555"/>
    </row>
    <row r="180" spans="1:54" s="550" customFormat="1" ht="15" customHeight="1" x14ac:dyDescent="0.35">
      <c r="A180" s="551"/>
      <c r="B180" s="551"/>
      <c r="C180" s="551"/>
      <c r="D180" s="551"/>
      <c r="E180" s="551"/>
      <c r="F180" s="551"/>
      <c r="G180" s="551"/>
      <c r="H180" s="551"/>
      <c r="I180" s="551"/>
      <c r="J180" s="551"/>
      <c r="K180" s="551"/>
      <c r="L180" s="551"/>
      <c r="M180" s="551"/>
      <c r="N180" s="551"/>
      <c r="O180" s="551"/>
      <c r="P180" s="551"/>
      <c r="Q180" s="551"/>
      <c r="R180" s="551"/>
      <c r="S180" s="551"/>
      <c r="T180" s="551"/>
      <c r="U180" s="551"/>
      <c r="V180" s="551"/>
      <c r="W180" s="343"/>
      <c r="X180" s="343"/>
      <c r="Y180" s="343"/>
      <c r="Z180" s="344"/>
      <c r="AA180" s="344"/>
      <c r="AB180" s="344"/>
      <c r="AC180" s="344"/>
      <c r="AD180" s="344"/>
      <c r="AE180" s="344"/>
      <c r="AF180" s="555"/>
      <c r="AG180" s="555"/>
      <c r="AH180" s="555"/>
      <c r="AI180" s="555"/>
      <c r="AJ180" s="555"/>
      <c r="AK180" s="555"/>
      <c r="AL180" s="555"/>
      <c r="AM180" s="555"/>
    </row>
    <row r="181" spans="1:54" x14ac:dyDescent="0.35">
      <c r="A181" s="42"/>
      <c r="B181" s="42"/>
      <c r="C181" s="342" t="s">
        <v>373</v>
      </c>
    </row>
    <row r="182" spans="1:54" s="305" customFormat="1" ht="15" customHeight="1" x14ac:dyDescent="0.35">
      <c r="A182" s="299"/>
      <c r="B182" s="299"/>
      <c r="C182" s="827" t="s">
        <v>362</v>
      </c>
      <c r="D182" s="828"/>
      <c r="E182" s="828"/>
      <c r="F182" s="828"/>
      <c r="G182" s="828"/>
      <c r="H182" s="828"/>
      <c r="I182" s="828"/>
      <c r="J182" s="828"/>
      <c r="K182" s="829"/>
      <c r="L182" s="831" t="s">
        <v>369</v>
      </c>
      <c r="M182" s="832"/>
      <c r="N182" s="833"/>
      <c r="O182" s="827" t="s">
        <v>363</v>
      </c>
      <c r="P182" s="828"/>
      <c r="Q182" s="828"/>
      <c r="R182" s="828"/>
      <c r="S182" s="829"/>
      <c r="T182" s="827" t="s">
        <v>365</v>
      </c>
      <c r="U182" s="828"/>
      <c r="V182" s="828"/>
      <c r="W182" s="828"/>
      <c r="X182" s="829"/>
      <c r="Y182" s="853" t="s">
        <v>367</v>
      </c>
      <c r="Z182" s="854"/>
      <c r="AA182" s="854"/>
      <c r="AB182" s="854"/>
      <c r="AC182" s="854"/>
      <c r="AD182" s="854"/>
      <c r="AE182" s="854"/>
      <c r="AF182" s="855"/>
      <c r="AG182" s="853" t="s">
        <v>368</v>
      </c>
      <c r="AH182" s="854"/>
      <c r="AI182" s="854"/>
      <c r="AJ182" s="854"/>
      <c r="AK182" s="854"/>
      <c r="AL182" s="854"/>
      <c r="AM182" s="854"/>
      <c r="AN182" s="855"/>
    </row>
    <row r="183" spans="1:54" s="305" customFormat="1" ht="15.75" customHeight="1" x14ac:dyDescent="0.35">
      <c r="A183" s="299"/>
      <c r="B183" s="299"/>
      <c r="C183" s="757"/>
      <c r="D183" s="758"/>
      <c r="E183" s="758"/>
      <c r="F183" s="758"/>
      <c r="G183" s="758"/>
      <c r="H183" s="758"/>
      <c r="I183" s="758"/>
      <c r="J183" s="758"/>
      <c r="K183" s="759"/>
      <c r="L183" s="757" t="s">
        <v>150</v>
      </c>
      <c r="M183" s="758"/>
      <c r="N183" s="759"/>
      <c r="O183" s="757" t="s">
        <v>364</v>
      </c>
      <c r="P183" s="758"/>
      <c r="Q183" s="758"/>
      <c r="R183" s="758"/>
      <c r="S183" s="759"/>
      <c r="T183" s="757" t="s">
        <v>366</v>
      </c>
      <c r="U183" s="758"/>
      <c r="V183" s="758"/>
      <c r="W183" s="758"/>
      <c r="X183" s="759"/>
      <c r="Y183" s="856"/>
      <c r="Z183" s="857"/>
      <c r="AA183" s="857"/>
      <c r="AB183" s="857"/>
      <c r="AC183" s="857"/>
      <c r="AD183" s="857"/>
      <c r="AE183" s="857"/>
      <c r="AF183" s="858"/>
      <c r="AG183" s="856"/>
      <c r="AH183" s="857"/>
      <c r="AI183" s="857"/>
      <c r="AJ183" s="857"/>
      <c r="AK183" s="857"/>
      <c r="AL183" s="857"/>
      <c r="AM183" s="857"/>
      <c r="AN183" s="858"/>
    </row>
    <row r="184" spans="1:54" s="305" customFormat="1" x14ac:dyDescent="0.35">
      <c r="A184" s="299"/>
      <c r="B184" s="213"/>
      <c r="C184" s="317" t="s">
        <v>352</v>
      </c>
      <c r="D184" s="318"/>
      <c r="E184" s="318"/>
      <c r="F184" s="318"/>
      <c r="G184" s="318"/>
      <c r="H184" s="318"/>
      <c r="I184" s="318"/>
      <c r="J184" s="318"/>
      <c r="K184" s="319"/>
      <c r="L184" s="667">
        <f>((W148+W149+W150+W151+W152+W153)*J176)+((W154+W155+W156+W158+W159+W160+W157)*J177)</f>
        <v>295.20756228682143</v>
      </c>
      <c r="M184" s="667"/>
      <c r="N184" s="667"/>
      <c r="O184" s="666">
        <f>((AF148+AF149+AF150+AF151+AF152+AF153)*J176)+((AF154+AF155+AF156+AF158+AF159+AF160+AF157)*J177)</f>
        <v>700.38399914728575</v>
      </c>
      <c r="P184" s="666"/>
      <c r="Q184" s="666"/>
      <c r="R184" s="666"/>
      <c r="S184" s="666"/>
      <c r="T184" s="666">
        <f>(AF144*J170)+(AF146*J171)</f>
        <v>128.6912361953969</v>
      </c>
      <c r="U184" s="666"/>
      <c r="V184" s="666"/>
      <c r="W184" s="666"/>
      <c r="X184" s="666"/>
      <c r="Y184" s="666">
        <f>O184/T184</f>
        <v>5.4423597119221512</v>
      </c>
      <c r="Z184" s="666"/>
      <c r="AA184" s="666"/>
      <c r="AB184" s="900" t="str">
        <f>IF(Y184&gt;U76,"Safe","Unsafe")</f>
        <v>Safe</v>
      </c>
      <c r="AC184" s="900"/>
      <c r="AD184" s="900"/>
      <c r="AE184" s="900"/>
      <c r="AF184" s="900"/>
      <c r="AG184" s="666">
        <f>(U72*L184)/((W144*J170)+(J171*W146))</f>
        <v>2.2703932374472764</v>
      </c>
      <c r="AH184" s="666"/>
      <c r="AI184" s="666"/>
      <c r="AJ184" s="900" t="str">
        <f>IF(AG184&gt;U77,"Safe","Unsafe")</f>
        <v>Safe</v>
      </c>
      <c r="AK184" s="900"/>
      <c r="AL184" s="900"/>
      <c r="AM184" s="900"/>
      <c r="AN184" s="900"/>
      <c r="AO184" s="158"/>
      <c r="AP184" s="158"/>
      <c r="AQ184" s="158"/>
    </row>
    <row r="185" spans="1:54" s="305" customFormat="1" x14ac:dyDescent="0.35">
      <c r="A185" s="299"/>
      <c r="B185" s="213"/>
      <c r="C185" s="317" t="s">
        <v>353</v>
      </c>
      <c r="D185" s="318"/>
      <c r="E185" s="318"/>
      <c r="F185" s="318"/>
      <c r="G185" s="318"/>
      <c r="H185" s="318"/>
      <c r="I185" s="318"/>
      <c r="J185" s="318"/>
      <c r="K185" s="319"/>
      <c r="L185" s="816">
        <f>((W148+W149+W150+W151+W152+W153)*P176)+((W154+W155+W156+W158+W159+W157)*P177)</f>
        <v>287.23749999999995</v>
      </c>
      <c r="M185" s="729"/>
      <c r="N185" s="755"/>
      <c r="O185" s="805">
        <f>((AF148+AF149+AF150+AF151+AF152+AF153)*P176)+((AF154+AF155+AF156+AF158+AF159+AF157)*P177)</f>
        <v>647.80749999999989</v>
      </c>
      <c r="P185" s="689"/>
      <c r="Q185" s="689"/>
      <c r="R185" s="689"/>
      <c r="S185" s="804"/>
      <c r="T185" s="805">
        <f>(AF144*P170)+(AF146*P171)</f>
        <v>75.069887780648187</v>
      </c>
      <c r="U185" s="689"/>
      <c r="V185" s="689"/>
      <c r="W185" s="689"/>
      <c r="X185" s="804"/>
      <c r="Y185" s="805">
        <f>O185/T185</f>
        <v>8.6293921457944993</v>
      </c>
      <c r="Z185" s="689"/>
      <c r="AA185" s="804"/>
      <c r="AB185" s="871" t="str">
        <f>IF(Y185&gt;U76,"Safe","Unsafe")</f>
        <v>Safe</v>
      </c>
      <c r="AC185" s="872"/>
      <c r="AD185" s="872"/>
      <c r="AE185" s="872"/>
      <c r="AF185" s="873"/>
      <c r="AG185" s="805">
        <f>(U72*L185)/((W144*P170)+(P171*W146))</f>
        <v>3.7112826032716759</v>
      </c>
      <c r="AH185" s="689"/>
      <c r="AI185" s="804"/>
      <c r="AJ185" s="871" t="str">
        <f>IF(AG185&gt;U77,"Safe","Unsafe")</f>
        <v>Safe</v>
      </c>
      <c r="AK185" s="872"/>
      <c r="AL185" s="872"/>
      <c r="AM185" s="872"/>
      <c r="AN185" s="873"/>
      <c r="AO185" s="158"/>
      <c r="AP185" s="158"/>
      <c r="AQ185" s="158"/>
    </row>
    <row r="186" spans="1:54" s="305" customFormat="1" x14ac:dyDescent="0.35">
      <c r="A186" s="299"/>
      <c r="B186" s="213"/>
      <c r="C186" s="317" t="s">
        <v>354</v>
      </c>
      <c r="D186" s="318"/>
      <c r="E186" s="318"/>
      <c r="F186" s="318"/>
      <c r="G186" s="318"/>
      <c r="H186" s="318"/>
      <c r="I186" s="318"/>
      <c r="J186" s="318"/>
      <c r="K186" s="319"/>
      <c r="L186" s="816">
        <f>((W148+W149+W150+W151+W152+W153)*P176)+((W154+W155+W156+W158+W159+W157)*P177)</f>
        <v>287.23749999999995</v>
      </c>
      <c r="M186" s="729"/>
      <c r="N186" s="755"/>
      <c r="O186" s="805">
        <f>((AF148+AF149+AF150+AF151+AF152+AF153)*V176)+((AF154+AF155+AF156+AF158+AF159+AF157)*V177)</f>
        <v>635.3287499999999</v>
      </c>
      <c r="P186" s="689"/>
      <c r="Q186" s="689"/>
      <c r="R186" s="689"/>
      <c r="S186" s="804"/>
      <c r="T186" s="805">
        <f>(AF144*V170)+(AF146*V171)</f>
        <v>75.069887780648187</v>
      </c>
      <c r="U186" s="689"/>
      <c r="V186" s="689"/>
      <c r="W186" s="689"/>
      <c r="X186" s="804"/>
      <c r="Y186" s="805">
        <f>O186/T186</f>
        <v>8.4631637102803481</v>
      </c>
      <c r="Z186" s="689"/>
      <c r="AA186" s="804"/>
      <c r="AB186" s="871" t="str">
        <f>IF(Y186&gt;U76,"Safe","Unsafe")</f>
        <v>Safe</v>
      </c>
      <c r="AC186" s="872"/>
      <c r="AD186" s="872"/>
      <c r="AE186" s="872"/>
      <c r="AF186" s="873"/>
      <c r="AG186" s="805">
        <f>(U72*L186)/((W144*V170)+(V171*W146))</f>
        <v>3.7112826032716759</v>
      </c>
      <c r="AH186" s="689"/>
      <c r="AI186" s="804"/>
      <c r="AJ186" s="871" t="str">
        <f>IF(AG186&gt;U77,"Safe","Unsafe")</f>
        <v>Safe</v>
      </c>
      <c r="AK186" s="872"/>
      <c r="AL186" s="872"/>
      <c r="AM186" s="872"/>
      <c r="AN186" s="873"/>
      <c r="AO186" s="158"/>
      <c r="AP186" s="158"/>
      <c r="AQ186" s="158"/>
      <c r="AX186" s="695">
        <v>0.8</v>
      </c>
      <c r="AY186" s="695"/>
      <c r="AZ186" s="695"/>
      <c r="BA186" s="695"/>
      <c r="BB186" s="695"/>
    </row>
    <row r="187" spans="1:54" s="502" customFormat="1" x14ac:dyDescent="0.35">
      <c r="A187" s="500"/>
      <c r="B187" s="415"/>
      <c r="C187" s="415"/>
      <c r="D187" s="158"/>
      <c r="E187" s="158"/>
      <c r="F187" s="158"/>
      <c r="G187" s="158"/>
      <c r="H187" s="158"/>
      <c r="I187" s="158"/>
      <c r="J187" s="158"/>
      <c r="K187" s="158"/>
      <c r="L187" s="158"/>
      <c r="M187" s="158"/>
      <c r="N187" s="158"/>
      <c r="O187" s="158"/>
      <c r="P187" s="158"/>
      <c r="Q187" s="158"/>
      <c r="R187" s="158"/>
      <c r="S187" s="158"/>
      <c r="T187" s="158"/>
      <c r="U187" s="158"/>
      <c r="V187" s="158"/>
      <c r="W187" s="158"/>
      <c r="X187" s="158"/>
      <c r="Y187" s="158"/>
      <c r="Z187" s="158"/>
      <c r="AA187" s="158"/>
      <c r="AB187" s="158"/>
      <c r="AC187" s="158"/>
      <c r="AD187" s="158"/>
      <c r="AE187" s="158"/>
      <c r="AF187" s="158"/>
      <c r="AG187" s="158"/>
      <c r="AH187" s="158"/>
      <c r="AI187" s="158"/>
      <c r="AJ187" s="158"/>
      <c r="AK187" s="158"/>
      <c r="AL187" s="158"/>
      <c r="AM187" s="158"/>
      <c r="AN187" s="158"/>
      <c r="AO187" s="158"/>
      <c r="AP187" s="158"/>
      <c r="AQ187" s="158"/>
    </row>
    <row r="188" spans="1:54" s="305" customFormat="1" x14ac:dyDescent="0.35">
      <c r="A188" s="299"/>
      <c r="B188" s="213"/>
      <c r="C188" s="345" t="s">
        <v>375</v>
      </c>
      <c r="D188" s="158"/>
      <c r="E188" s="158"/>
      <c r="F188" s="158"/>
      <c r="G188" s="158"/>
      <c r="H188" s="158"/>
      <c r="I188" s="158"/>
      <c r="J188" s="158"/>
      <c r="K188" s="158"/>
      <c r="L188" s="158"/>
      <c r="M188" s="158"/>
      <c r="N188" s="158"/>
      <c r="O188" s="158"/>
      <c r="P188" s="158"/>
      <c r="Q188" s="158"/>
      <c r="R188" s="158"/>
      <c r="S188" s="158"/>
      <c r="T188" s="158"/>
      <c r="U188" s="158"/>
      <c r="V188" s="158"/>
      <c r="W188" s="158"/>
      <c r="X188" s="158"/>
      <c r="Y188" s="158"/>
      <c r="Z188" s="158"/>
      <c r="AA188" s="158"/>
      <c r="AB188" s="158"/>
      <c r="AC188" s="158"/>
      <c r="AD188" s="158"/>
      <c r="AE188" s="158"/>
      <c r="AF188" s="158"/>
      <c r="AG188" s="158"/>
      <c r="AH188" s="158"/>
      <c r="AI188" s="158"/>
      <c r="AJ188" s="158"/>
      <c r="AK188" s="158"/>
      <c r="AL188" s="158"/>
      <c r="AM188" s="158"/>
      <c r="AN188" s="158"/>
      <c r="AO188" s="158"/>
      <c r="AP188" s="158"/>
      <c r="AQ188" s="158"/>
    </row>
    <row r="189" spans="1:54" s="322" customFormat="1" x14ac:dyDescent="0.35">
      <c r="A189" s="321"/>
      <c r="B189" s="213"/>
      <c r="C189" s="213"/>
      <c r="D189" s="158"/>
      <c r="E189" s="158"/>
      <c r="F189" s="158"/>
      <c r="G189" s="158"/>
      <c r="H189" s="158"/>
      <c r="I189" s="158"/>
      <c r="J189" s="158"/>
      <c r="K189" s="158"/>
      <c r="L189" s="158"/>
      <c r="M189" s="158"/>
      <c r="N189" s="158"/>
      <c r="O189" s="158"/>
      <c r="P189" s="158"/>
      <c r="Q189" s="158"/>
      <c r="R189" s="158"/>
      <c r="S189" s="158"/>
      <c r="T189" s="158"/>
      <c r="U189" s="158"/>
      <c r="V189" s="158"/>
      <c r="W189" s="158"/>
      <c r="X189" s="158"/>
      <c r="Y189" s="158"/>
      <c r="Z189" s="158"/>
      <c r="AA189" s="158"/>
      <c r="AB189" s="158"/>
      <c r="AC189" s="158"/>
      <c r="AD189" s="158"/>
      <c r="AE189" s="158"/>
      <c r="AF189" s="158"/>
      <c r="AG189" s="158"/>
      <c r="AH189" s="158"/>
      <c r="AI189" s="158"/>
      <c r="AJ189" s="158"/>
      <c r="AK189" s="158"/>
      <c r="AL189" s="158"/>
      <c r="AM189" s="158"/>
      <c r="AN189" s="158"/>
      <c r="AO189" s="158"/>
      <c r="AP189" s="158"/>
      <c r="AQ189" s="158"/>
    </row>
    <row r="190" spans="1:54" s="305" customFormat="1" x14ac:dyDescent="0.35">
      <c r="A190" s="299"/>
      <c r="B190" s="299"/>
      <c r="C190" s="213" t="s">
        <v>426</v>
      </c>
    </row>
    <row r="191" spans="1:54" s="322" customFormat="1" ht="7.5" customHeight="1" x14ac:dyDescent="0.35">
      <c r="A191" s="321"/>
      <c r="B191" s="321"/>
      <c r="C191" s="213"/>
    </row>
    <row r="192" spans="1:54" s="305" customFormat="1" x14ac:dyDescent="0.35">
      <c r="A192" s="299"/>
      <c r="B192" s="299"/>
      <c r="C192" s="342" t="s">
        <v>376</v>
      </c>
    </row>
    <row r="193" spans="1:78" s="305" customFormat="1" x14ac:dyDescent="0.35">
      <c r="A193" s="299"/>
      <c r="B193" s="213"/>
      <c r="C193" s="668" t="s">
        <v>355</v>
      </c>
      <c r="D193" s="668"/>
      <c r="E193" s="668"/>
      <c r="F193" s="668"/>
      <c r="G193" s="668"/>
      <c r="H193" s="668"/>
      <c r="I193" s="668"/>
      <c r="J193" s="668" t="s">
        <v>542</v>
      </c>
      <c r="K193" s="668"/>
      <c r="L193" s="668"/>
      <c r="M193" s="668"/>
      <c r="N193" s="668"/>
      <c r="O193" s="668"/>
      <c r="P193" s="668" t="s">
        <v>358</v>
      </c>
      <c r="Q193" s="668"/>
      <c r="R193" s="668"/>
      <c r="S193" s="668"/>
      <c r="T193" s="668"/>
      <c r="U193" s="668"/>
      <c r="V193" s="668" t="s">
        <v>357</v>
      </c>
      <c r="W193" s="668"/>
      <c r="X193" s="668"/>
      <c r="Y193" s="668"/>
      <c r="Z193" s="668"/>
      <c r="AA193" s="668"/>
      <c r="AB193" s="158"/>
      <c r="AC193" s="158"/>
      <c r="AD193" s="158"/>
      <c r="AE193" s="158"/>
      <c r="AF193" s="158"/>
      <c r="AH193" s="158"/>
      <c r="AI193" s="158"/>
      <c r="AJ193" s="158"/>
      <c r="AK193" s="158"/>
      <c r="AL193" s="158"/>
      <c r="AM193" s="158"/>
      <c r="AN193" s="158"/>
      <c r="AO193" s="158"/>
      <c r="AP193" s="158"/>
      <c r="AQ193" s="158"/>
      <c r="AS193" s="668" t="s">
        <v>355</v>
      </c>
      <c r="AT193" s="668"/>
      <c r="AU193" s="668"/>
      <c r="AV193" s="668"/>
      <c r="AW193" s="668"/>
      <c r="AX193" s="668"/>
      <c r="AY193" s="668"/>
      <c r="AZ193" s="668" t="s">
        <v>356</v>
      </c>
      <c r="BA193" s="668"/>
      <c r="BB193" s="668"/>
      <c r="BC193" s="668"/>
      <c r="BD193" s="668"/>
      <c r="BE193" s="668"/>
      <c r="BF193" s="668" t="s">
        <v>358</v>
      </c>
      <c r="BG193" s="668"/>
      <c r="BH193" s="668"/>
      <c r="BI193" s="668"/>
      <c r="BJ193" s="668"/>
      <c r="BK193" s="668"/>
      <c r="BL193" s="668" t="s">
        <v>357</v>
      </c>
      <c r="BM193" s="668"/>
      <c r="BN193" s="668"/>
      <c r="BO193" s="668"/>
      <c r="BP193" s="668"/>
      <c r="BQ193" s="668"/>
    </row>
    <row r="194" spans="1:78" s="305" customFormat="1" x14ac:dyDescent="0.35">
      <c r="A194" s="299"/>
      <c r="B194" s="213"/>
      <c r="C194" s="668"/>
      <c r="D194" s="668"/>
      <c r="E194" s="668"/>
      <c r="F194" s="668"/>
      <c r="G194" s="668"/>
      <c r="H194" s="668"/>
      <c r="I194" s="668"/>
      <c r="J194" s="668" t="s">
        <v>334</v>
      </c>
      <c r="K194" s="668"/>
      <c r="L194" s="668"/>
      <c r="M194" s="668"/>
      <c r="N194" s="668"/>
      <c r="O194" s="668"/>
      <c r="P194" s="668" t="s">
        <v>276</v>
      </c>
      <c r="Q194" s="668"/>
      <c r="R194" s="668"/>
      <c r="S194" s="668"/>
      <c r="T194" s="668"/>
      <c r="U194" s="668"/>
      <c r="V194" s="668" t="s">
        <v>276</v>
      </c>
      <c r="W194" s="668"/>
      <c r="X194" s="668"/>
      <c r="Y194" s="668"/>
      <c r="Z194" s="668"/>
      <c r="AA194" s="668"/>
      <c r="AB194" s="158"/>
      <c r="AC194" s="158"/>
      <c r="AD194" s="158"/>
      <c r="AE194" s="158"/>
      <c r="AF194" s="158"/>
      <c r="AH194" s="158"/>
      <c r="AI194" s="158"/>
      <c r="AJ194" s="158"/>
      <c r="AK194" s="158"/>
      <c r="AL194" s="158"/>
      <c r="AM194" s="158"/>
      <c r="AN194" s="158"/>
      <c r="AO194" s="158"/>
      <c r="AP194" s="158"/>
      <c r="AQ194" s="158"/>
      <c r="AS194" s="668"/>
      <c r="AT194" s="668"/>
      <c r="AU194" s="668"/>
      <c r="AV194" s="668"/>
      <c r="AW194" s="668"/>
      <c r="AX194" s="668"/>
      <c r="AY194" s="668"/>
      <c r="AZ194" s="668" t="s">
        <v>276</v>
      </c>
      <c r="BA194" s="668"/>
      <c r="BB194" s="668"/>
      <c r="BC194" s="668"/>
      <c r="BD194" s="668"/>
      <c r="BE194" s="668"/>
      <c r="BF194" s="668" t="s">
        <v>276</v>
      </c>
      <c r="BG194" s="668"/>
      <c r="BH194" s="668"/>
      <c r="BI194" s="668"/>
      <c r="BJ194" s="668"/>
      <c r="BK194" s="668"/>
      <c r="BL194" s="668" t="s">
        <v>276</v>
      </c>
      <c r="BM194" s="668"/>
      <c r="BN194" s="668"/>
      <c r="BO194" s="668"/>
      <c r="BP194" s="668"/>
      <c r="BQ194" s="668"/>
    </row>
    <row r="195" spans="1:78" s="305" customFormat="1" x14ac:dyDescent="0.35">
      <c r="A195" s="299"/>
      <c r="B195" s="213"/>
      <c r="C195" s="820" t="s">
        <v>359</v>
      </c>
      <c r="D195" s="820"/>
      <c r="E195" s="820"/>
      <c r="F195" s="820"/>
      <c r="G195" s="820"/>
      <c r="H195" s="820"/>
      <c r="I195" s="820"/>
      <c r="J195" s="667">
        <v>1.35</v>
      </c>
      <c r="K195" s="667"/>
      <c r="L195" s="667"/>
      <c r="M195" s="667"/>
      <c r="N195" s="667"/>
      <c r="O195" s="667"/>
      <c r="P195" s="924">
        <v>1</v>
      </c>
      <c r="Q195" s="924"/>
      <c r="R195" s="924"/>
      <c r="S195" s="924"/>
      <c r="T195" s="924"/>
      <c r="U195" s="924"/>
      <c r="V195" s="924">
        <v>1.35</v>
      </c>
      <c r="W195" s="924"/>
      <c r="X195" s="924"/>
      <c r="Y195" s="924"/>
      <c r="Z195" s="924"/>
      <c r="AA195" s="924"/>
      <c r="AB195" s="158"/>
      <c r="AC195" s="158"/>
      <c r="AD195" s="158"/>
      <c r="AE195" s="158"/>
      <c r="AF195" s="158"/>
      <c r="AG195" s="158"/>
      <c r="AH195" s="158"/>
      <c r="AI195" s="158"/>
      <c r="AJ195" s="158"/>
      <c r="AK195" s="158"/>
      <c r="AL195" s="158"/>
      <c r="AM195" s="158"/>
      <c r="AN195" s="158"/>
      <c r="AO195" s="158"/>
      <c r="AP195" s="158"/>
      <c r="AQ195" s="158"/>
      <c r="AS195" s="820" t="s">
        <v>359</v>
      </c>
      <c r="AT195" s="820"/>
      <c r="AU195" s="820"/>
      <c r="AV195" s="820"/>
      <c r="AW195" s="820"/>
      <c r="AX195" s="820"/>
      <c r="AY195" s="820"/>
      <c r="AZ195" s="667">
        <v>1.35</v>
      </c>
      <c r="BA195" s="667"/>
      <c r="BB195" s="667"/>
      <c r="BC195" s="667"/>
      <c r="BD195" s="667"/>
      <c r="BE195" s="667"/>
      <c r="BF195" s="667">
        <v>1</v>
      </c>
      <c r="BG195" s="667"/>
      <c r="BH195" s="667"/>
      <c r="BI195" s="667"/>
      <c r="BJ195" s="667"/>
      <c r="BK195" s="667"/>
      <c r="BL195" s="667">
        <v>1.35</v>
      </c>
      <c r="BM195" s="667"/>
      <c r="BN195" s="667"/>
      <c r="BO195" s="667"/>
      <c r="BP195" s="667"/>
      <c r="BQ195" s="667"/>
    </row>
    <row r="196" spans="1:78" s="305" customFormat="1" x14ac:dyDescent="0.35">
      <c r="A196" s="299"/>
      <c r="B196" s="213"/>
      <c r="C196" s="820" t="s">
        <v>360</v>
      </c>
      <c r="D196" s="820"/>
      <c r="E196" s="820"/>
      <c r="F196" s="820"/>
      <c r="G196" s="820"/>
      <c r="H196" s="820"/>
      <c r="I196" s="820"/>
      <c r="J196" s="667">
        <v>1.35</v>
      </c>
      <c r="K196" s="667"/>
      <c r="L196" s="667"/>
      <c r="M196" s="667"/>
      <c r="N196" s="667"/>
      <c r="O196" s="667"/>
      <c r="P196" s="924">
        <v>1</v>
      </c>
      <c r="Q196" s="924"/>
      <c r="R196" s="924"/>
      <c r="S196" s="924"/>
      <c r="T196" s="924"/>
      <c r="U196" s="924"/>
      <c r="V196" s="924">
        <v>1.35</v>
      </c>
      <c r="W196" s="924"/>
      <c r="X196" s="924"/>
      <c r="Y196" s="924"/>
      <c r="Z196" s="924"/>
      <c r="AA196" s="924"/>
      <c r="AB196" s="158"/>
      <c r="AC196" s="158"/>
      <c r="AD196" s="158"/>
      <c r="AE196" s="158"/>
      <c r="AF196" s="158"/>
      <c r="AG196" s="158"/>
      <c r="AH196" s="158"/>
      <c r="AI196" s="158"/>
      <c r="AJ196" s="158"/>
      <c r="AK196" s="158"/>
      <c r="AL196" s="158"/>
      <c r="AM196" s="158"/>
      <c r="AN196" s="158"/>
      <c r="AO196" s="158"/>
      <c r="AP196" s="158"/>
      <c r="AQ196" s="158"/>
      <c r="AS196" s="820" t="s">
        <v>360</v>
      </c>
      <c r="AT196" s="820"/>
      <c r="AU196" s="820"/>
      <c r="AV196" s="820"/>
      <c r="AW196" s="820"/>
      <c r="AX196" s="820"/>
      <c r="AY196" s="820"/>
      <c r="AZ196" s="667">
        <v>1.5</v>
      </c>
      <c r="BA196" s="667"/>
      <c r="BB196" s="667"/>
      <c r="BC196" s="667"/>
      <c r="BD196" s="667"/>
      <c r="BE196" s="667"/>
      <c r="BF196" s="667">
        <v>1</v>
      </c>
      <c r="BG196" s="667"/>
      <c r="BH196" s="667"/>
      <c r="BI196" s="667"/>
      <c r="BJ196" s="667"/>
      <c r="BK196" s="667"/>
      <c r="BL196" s="667">
        <v>1</v>
      </c>
      <c r="BM196" s="667"/>
      <c r="BN196" s="667"/>
      <c r="BO196" s="667"/>
      <c r="BP196" s="667"/>
      <c r="BQ196" s="667"/>
    </row>
    <row r="197" spans="1:78" s="305" customFormat="1" x14ac:dyDescent="0.35">
      <c r="A197" s="299"/>
      <c r="B197" s="213"/>
      <c r="C197" s="820" t="s">
        <v>361</v>
      </c>
      <c r="D197" s="820"/>
      <c r="E197" s="820"/>
      <c r="F197" s="820"/>
      <c r="G197" s="820"/>
      <c r="H197" s="820"/>
      <c r="I197" s="820"/>
      <c r="J197" s="667">
        <v>1.2</v>
      </c>
      <c r="K197" s="667"/>
      <c r="L197" s="667"/>
      <c r="M197" s="667"/>
      <c r="N197" s="667"/>
      <c r="O197" s="667"/>
      <c r="P197" s="924">
        <v>0.2</v>
      </c>
      <c r="Q197" s="924"/>
      <c r="R197" s="924"/>
      <c r="S197" s="924"/>
      <c r="T197" s="924"/>
      <c r="U197" s="924"/>
      <c r="V197" s="924">
        <v>0.2</v>
      </c>
      <c r="W197" s="924"/>
      <c r="X197" s="924"/>
      <c r="Y197" s="924"/>
      <c r="Z197" s="924"/>
      <c r="AA197" s="924"/>
      <c r="AB197" s="158"/>
      <c r="AC197" s="158"/>
      <c r="AD197" s="158"/>
      <c r="AE197" s="158"/>
      <c r="AF197" s="158"/>
      <c r="AG197" s="158"/>
      <c r="AH197" s="158"/>
      <c r="AI197" s="158"/>
      <c r="AJ197" s="158"/>
      <c r="AK197" s="158"/>
      <c r="AL197" s="158"/>
      <c r="AM197" s="158"/>
      <c r="AN197" s="158"/>
      <c r="AO197" s="158"/>
      <c r="AP197" s="158"/>
      <c r="AQ197" s="158"/>
      <c r="AS197" s="820" t="s">
        <v>361</v>
      </c>
      <c r="AT197" s="820"/>
      <c r="AU197" s="820"/>
      <c r="AV197" s="820"/>
      <c r="AW197" s="820"/>
      <c r="AX197" s="820"/>
      <c r="AY197" s="820"/>
      <c r="AZ197" s="667">
        <v>1.2</v>
      </c>
      <c r="BA197" s="667"/>
      <c r="BB197" s="667"/>
      <c r="BC197" s="667"/>
      <c r="BD197" s="667"/>
      <c r="BE197" s="667"/>
      <c r="BF197" s="667">
        <v>0.2</v>
      </c>
      <c r="BG197" s="667"/>
      <c r="BH197" s="667"/>
      <c r="BI197" s="667"/>
      <c r="BJ197" s="667"/>
      <c r="BK197" s="667"/>
      <c r="BL197" s="667">
        <v>0.2</v>
      </c>
      <c r="BM197" s="667"/>
      <c r="BN197" s="667"/>
      <c r="BO197" s="667"/>
      <c r="BP197" s="667"/>
      <c r="BQ197" s="667"/>
    </row>
    <row r="198" spans="1:78" s="322" customFormat="1" x14ac:dyDescent="0.35">
      <c r="A198" s="321"/>
      <c r="B198" s="213"/>
      <c r="C198" s="213"/>
      <c r="D198" s="213"/>
      <c r="E198" s="213"/>
      <c r="F198" s="213"/>
      <c r="G198" s="213"/>
      <c r="H198" s="213"/>
      <c r="I198" s="213"/>
      <c r="J198" s="321"/>
      <c r="K198" s="321"/>
      <c r="L198" s="321"/>
      <c r="M198" s="321"/>
      <c r="N198" s="321"/>
      <c r="O198" s="321"/>
      <c r="P198" s="321"/>
      <c r="Q198" s="321"/>
      <c r="R198" s="321"/>
      <c r="S198" s="321"/>
      <c r="T198" s="321"/>
      <c r="U198" s="321"/>
      <c r="V198" s="321"/>
      <c r="W198" s="321"/>
      <c r="X198" s="321"/>
      <c r="Y198" s="321"/>
      <c r="Z198" s="321"/>
      <c r="AA198" s="321"/>
      <c r="AB198" s="158"/>
      <c r="AC198" s="158"/>
      <c r="AD198" s="158"/>
      <c r="AE198" s="158"/>
      <c r="AF198" s="158"/>
      <c r="AG198" s="158"/>
      <c r="AH198" s="158"/>
      <c r="AI198" s="158"/>
      <c r="AJ198" s="158"/>
      <c r="AK198" s="158"/>
      <c r="AL198" s="158"/>
      <c r="AM198" s="158"/>
      <c r="AN198" s="158"/>
      <c r="AO198" s="158"/>
      <c r="AP198" s="158"/>
      <c r="AQ198" s="158"/>
    </row>
    <row r="199" spans="1:78" s="305" customFormat="1" x14ac:dyDescent="0.35">
      <c r="A199" s="299"/>
      <c r="B199" s="213"/>
      <c r="C199" s="342" t="s">
        <v>377</v>
      </c>
      <c r="D199" s="322"/>
      <c r="E199" s="322"/>
      <c r="F199" s="322"/>
      <c r="G199" s="322"/>
      <c r="H199" s="322"/>
      <c r="I199" s="322"/>
      <c r="J199" s="322"/>
      <c r="K199" s="322"/>
      <c r="L199" s="322"/>
      <c r="M199" s="322"/>
      <c r="N199" s="322"/>
      <c r="O199" s="322"/>
      <c r="P199" s="158"/>
      <c r="Q199" s="158"/>
      <c r="R199" s="158"/>
      <c r="S199" s="158"/>
      <c r="T199" s="158"/>
      <c r="U199" s="158"/>
      <c r="V199" s="158"/>
      <c r="W199" s="158"/>
      <c r="X199" s="158"/>
      <c r="Y199" s="158"/>
      <c r="Z199" s="158"/>
      <c r="AA199" s="158"/>
      <c r="AB199" s="158"/>
      <c r="AC199" s="158"/>
      <c r="AD199" s="158"/>
      <c r="AE199" s="158"/>
      <c r="AF199" s="158"/>
      <c r="AG199" s="158"/>
      <c r="AH199" s="158"/>
      <c r="AI199" s="158"/>
      <c r="AJ199" s="158"/>
      <c r="AK199" s="158"/>
      <c r="AL199" s="158"/>
      <c r="AM199" s="158"/>
      <c r="AN199" s="158"/>
      <c r="AO199" s="158"/>
      <c r="AP199" s="158"/>
      <c r="AQ199" s="158"/>
    </row>
    <row r="200" spans="1:78" s="147" customFormat="1" x14ac:dyDescent="0.35">
      <c r="A200" s="150"/>
      <c r="B200" s="150"/>
      <c r="C200" s="827" t="s">
        <v>362</v>
      </c>
      <c r="D200" s="828"/>
      <c r="E200" s="828"/>
      <c r="F200" s="828"/>
      <c r="G200" s="828"/>
      <c r="H200" s="828"/>
      <c r="I200" s="828"/>
      <c r="J200" s="828"/>
      <c r="K200" s="829"/>
      <c r="L200" s="831" t="s">
        <v>369</v>
      </c>
      <c r="M200" s="832"/>
      <c r="N200" s="833"/>
      <c r="O200" s="827" t="s">
        <v>363</v>
      </c>
      <c r="P200" s="828"/>
      <c r="Q200" s="828"/>
      <c r="R200" s="828"/>
      <c r="S200" s="829"/>
      <c r="T200" s="827" t="s">
        <v>365</v>
      </c>
      <c r="U200" s="828"/>
      <c r="V200" s="828"/>
      <c r="W200" s="828"/>
      <c r="X200" s="829"/>
      <c r="AK200" s="37"/>
      <c r="AL200" s="37"/>
      <c r="AM200" s="37"/>
      <c r="AN200" s="37"/>
      <c r="AO200" s="37"/>
      <c r="AU200" s="785" t="s">
        <v>38</v>
      </c>
      <c r="AV200" s="785"/>
      <c r="AW200" s="721" t="s">
        <v>179</v>
      </c>
      <c r="AX200" s="722"/>
      <c r="AY200" s="722"/>
      <c r="AZ200" s="722"/>
      <c r="BA200" s="722"/>
      <c r="BB200" s="722"/>
      <c r="BC200" s="722"/>
      <c r="BD200" s="722"/>
      <c r="BE200" s="722"/>
      <c r="BF200" s="722"/>
      <c r="BG200" s="722"/>
      <c r="BH200" s="722"/>
      <c r="BI200" s="722"/>
      <c r="BJ200" s="722"/>
      <c r="BK200" s="722"/>
      <c r="BL200" s="722"/>
      <c r="BM200" s="722"/>
      <c r="BN200" s="722"/>
      <c r="BO200" s="722"/>
      <c r="BP200" s="722"/>
      <c r="BQ200" s="722"/>
      <c r="BR200" s="722"/>
      <c r="BS200" s="722"/>
      <c r="BT200" s="722"/>
      <c r="BU200" s="722"/>
      <c r="BV200" s="722"/>
      <c r="BW200" s="722"/>
      <c r="BX200" s="722"/>
      <c r="BY200" s="722"/>
      <c r="BZ200" s="723"/>
    </row>
    <row r="201" spans="1:78" s="147" customFormat="1" x14ac:dyDescent="0.35">
      <c r="A201" s="150"/>
      <c r="B201" s="150"/>
      <c r="C201" s="757"/>
      <c r="D201" s="758"/>
      <c r="E201" s="758"/>
      <c r="F201" s="758"/>
      <c r="G201" s="758"/>
      <c r="H201" s="758"/>
      <c r="I201" s="758"/>
      <c r="J201" s="758"/>
      <c r="K201" s="759"/>
      <c r="L201" s="757" t="s">
        <v>150</v>
      </c>
      <c r="M201" s="758"/>
      <c r="N201" s="759"/>
      <c r="O201" s="757" t="s">
        <v>364</v>
      </c>
      <c r="P201" s="758"/>
      <c r="Q201" s="758"/>
      <c r="R201" s="758"/>
      <c r="S201" s="759"/>
      <c r="T201" s="757" t="s">
        <v>366</v>
      </c>
      <c r="U201" s="758"/>
      <c r="V201" s="758"/>
      <c r="W201" s="758"/>
      <c r="X201" s="759"/>
      <c r="AK201" s="37"/>
      <c r="AL201" s="37"/>
      <c r="AM201" s="37"/>
      <c r="AN201" s="37"/>
      <c r="AO201" s="37"/>
      <c r="AU201" s="785"/>
      <c r="AV201" s="785"/>
      <c r="AW201" s="724"/>
      <c r="AX201" s="725"/>
      <c r="AY201" s="725"/>
      <c r="AZ201" s="725"/>
      <c r="BA201" s="725"/>
      <c r="BB201" s="725"/>
      <c r="BC201" s="725"/>
      <c r="BD201" s="725"/>
      <c r="BE201" s="725"/>
      <c r="BF201" s="725"/>
      <c r="BG201" s="725"/>
      <c r="BH201" s="725"/>
      <c r="BI201" s="725"/>
      <c r="BJ201" s="725"/>
      <c r="BK201" s="725"/>
      <c r="BL201" s="725"/>
      <c r="BM201" s="725"/>
      <c r="BN201" s="725"/>
      <c r="BO201" s="725"/>
      <c r="BP201" s="725"/>
      <c r="BQ201" s="725"/>
      <c r="BR201" s="725"/>
      <c r="BS201" s="725"/>
      <c r="BT201" s="725"/>
      <c r="BU201" s="725"/>
      <c r="BV201" s="725"/>
      <c r="BW201" s="725"/>
      <c r="BX201" s="725"/>
      <c r="BY201" s="725"/>
      <c r="BZ201" s="726"/>
    </row>
    <row r="202" spans="1:78" s="147" customFormat="1" ht="17" x14ac:dyDescent="0.35">
      <c r="A202" s="150"/>
      <c r="B202" s="150"/>
      <c r="C202" s="317" t="s">
        <v>543</v>
      </c>
      <c r="D202" s="318"/>
      <c r="E202" s="318"/>
      <c r="F202" s="318"/>
      <c r="G202" s="318"/>
      <c r="H202" s="318"/>
      <c r="I202" s="318"/>
      <c r="J202" s="318"/>
      <c r="K202" s="319"/>
      <c r="L202" s="667">
        <f>((W148+W149+W150+W151+W152+W153)*J195)+((W154+W155+W156+W158+W159+W160+W157)*J196)</f>
        <v>409.72677158720899</v>
      </c>
      <c r="M202" s="667"/>
      <c r="N202" s="667"/>
      <c r="O202" s="666">
        <f>((AF148+AF149+AF150+AF151+AF152+AF153)*J195)+((AF154+AF155+AF156+AF158+AF159+AF160+AF157)*J196)</f>
        <v>962.36471134883573</v>
      </c>
      <c r="P202" s="666"/>
      <c r="Q202" s="666"/>
      <c r="R202" s="666"/>
      <c r="S202" s="666"/>
      <c r="T202" s="666">
        <f>(AF144*J196)+(AF146*J197)</f>
        <v>117.43075302829966</v>
      </c>
      <c r="U202" s="666"/>
      <c r="V202" s="666"/>
      <c r="W202" s="666"/>
      <c r="X202" s="666"/>
      <c r="AU202" s="783">
        <v>1</v>
      </c>
      <c r="AV202" s="784"/>
      <c r="AW202" s="146" t="s">
        <v>189</v>
      </c>
      <c r="AX202" s="144"/>
      <c r="AY202" s="144"/>
      <c r="AZ202" s="144"/>
      <c r="BA202" s="144"/>
      <c r="BB202" s="144"/>
      <c r="BC202" s="144"/>
      <c r="BD202" s="144"/>
      <c r="BE202" s="144"/>
      <c r="BF202" s="729" t="s">
        <v>177</v>
      </c>
      <c r="BG202" s="729"/>
      <c r="BH202" s="148"/>
      <c r="BI202" s="148"/>
      <c r="BJ202" s="148"/>
      <c r="BK202" s="148"/>
      <c r="BL202" s="148"/>
      <c r="BM202" s="148"/>
      <c r="BN202" s="148"/>
      <c r="BO202" s="929">
        <f>AF161</f>
        <v>712.86274914728574</v>
      </c>
      <c r="BP202" s="930"/>
      <c r="BQ202" s="930"/>
      <c r="BR202" s="930"/>
      <c r="BS202" s="729" t="s">
        <v>11</v>
      </c>
      <c r="BT202" s="729"/>
      <c r="BU202" s="729"/>
      <c r="BV202" s="148"/>
      <c r="BW202" s="148"/>
      <c r="BX202" s="148"/>
      <c r="BY202" s="148"/>
      <c r="BZ202" s="149"/>
    </row>
    <row r="203" spans="1:78" s="147" customFormat="1" ht="17" x14ac:dyDescent="0.35">
      <c r="A203" s="150"/>
      <c r="B203" s="150"/>
      <c r="C203" s="317" t="s">
        <v>353</v>
      </c>
      <c r="D203" s="318"/>
      <c r="E203" s="318"/>
      <c r="F203" s="318"/>
      <c r="G203" s="318"/>
      <c r="H203" s="318"/>
      <c r="I203" s="318"/>
      <c r="J203" s="318"/>
      <c r="K203" s="319"/>
      <c r="L203" s="667">
        <f>((W148+W149+W150+W151+W152+W153)*P195)+((W154+W155+W156+W158+W159+W160+W157)*P196)</f>
        <v>303.50131228682142</v>
      </c>
      <c r="M203" s="667"/>
      <c r="N203" s="667"/>
      <c r="O203" s="666">
        <f>((AF148+AF149+AF150+AF151+AF152+AF153)*P195)+((AF154+AF155+AF156+AF158+AF159+AF160+AF157)*P196)</f>
        <v>712.86274914728574</v>
      </c>
      <c r="P203" s="666"/>
      <c r="Q203" s="666"/>
      <c r="R203" s="666"/>
      <c r="S203" s="666"/>
      <c r="T203" s="666">
        <f>(AF144*P196)+(AF146*P197)</f>
        <v>77.750955201385622</v>
      </c>
      <c r="U203" s="666"/>
      <c r="V203" s="666"/>
      <c r="W203" s="666"/>
      <c r="X203" s="666"/>
      <c r="AU203" s="783">
        <v>2</v>
      </c>
      <c r="AV203" s="784"/>
      <c r="AW203" s="146" t="s">
        <v>190</v>
      </c>
      <c r="AX203" s="148"/>
      <c r="AY203" s="148"/>
      <c r="AZ203" s="148"/>
      <c r="BA203" s="148"/>
      <c r="BB203" s="148"/>
      <c r="BC203" s="148"/>
      <c r="BD203" s="148"/>
      <c r="BE203" s="148"/>
      <c r="BF203" s="148"/>
      <c r="BG203" s="729" t="s">
        <v>178</v>
      </c>
      <c r="BH203" s="729"/>
      <c r="BI203" s="148"/>
      <c r="BJ203" s="148"/>
      <c r="BK203" s="148"/>
      <c r="BL203" s="148"/>
      <c r="BM203" s="148"/>
      <c r="BN203" s="149"/>
      <c r="BO203" s="929">
        <f>AF144+AF146</f>
        <v>88.475224884335361</v>
      </c>
      <c r="BP203" s="930"/>
      <c r="BQ203" s="930"/>
      <c r="BR203" s="930"/>
      <c r="BS203" s="729" t="s">
        <v>11</v>
      </c>
      <c r="BT203" s="729"/>
      <c r="BU203" s="729"/>
      <c r="BV203" s="148"/>
      <c r="BW203" s="148"/>
      <c r="BX203" s="148"/>
      <c r="BY203" s="148"/>
      <c r="BZ203" s="149"/>
    </row>
    <row r="204" spans="1:78" x14ac:dyDescent="0.35">
      <c r="A204" s="42"/>
      <c r="B204" s="42"/>
      <c r="C204" s="317" t="s">
        <v>354</v>
      </c>
      <c r="D204" s="318"/>
      <c r="E204" s="318"/>
      <c r="F204" s="318"/>
      <c r="G204" s="318"/>
      <c r="H204" s="318"/>
      <c r="I204" s="318"/>
      <c r="J204" s="318"/>
      <c r="K204" s="319"/>
      <c r="L204" s="667">
        <f>((W148+W149+W150+W151+W152+W153)*V195)+((W154+W155+W156+W158+W159+W160+W157)*V196)</f>
        <v>409.72677158720899</v>
      </c>
      <c r="M204" s="667"/>
      <c r="N204" s="667"/>
      <c r="O204" s="666">
        <f>((AF148+AF149+AF150+AF151+AF152+AF153)*V195)+((AF154+AF155+AF156+AF158+AF159+AF160+AF157)*V196)</f>
        <v>962.36471134883573</v>
      </c>
      <c r="P204" s="666"/>
      <c r="Q204" s="666"/>
      <c r="R204" s="666"/>
      <c r="S204" s="666"/>
      <c r="T204" s="666">
        <f>(AF144*V196)+(AF146*V197)</f>
        <v>104.02541592461249</v>
      </c>
      <c r="U204" s="666"/>
      <c r="V204" s="666"/>
      <c r="W204" s="666"/>
      <c r="X204" s="666"/>
      <c r="AU204" s="768">
        <v>3</v>
      </c>
      <c r="AV204" s="769"/>
      <c r="AW204" s="748" t="s">
        <v>39</v>
      </c>
      <c r="AX204" s="749"/>
      <c r="AY204" s="749"/>
      <c r="AZ204" s="749"/>
      <c r="BA204" s="749"/>
      <c r="BB204" s="749"/>
      <c r="BC204" s="749"/>
      <c r="BD204" s="749"/>
      <c r="BE204" s="749"/>
      <c r="BF204" s="749"/>
      <c r="BG204" s="764" t="s">
        <v>0</v>
      </c>
      <c r="BH204" s="716">
        <f>BO202</f>
        <v>712.86274914728574</v>
      </c>
      <c r="BI204" s="716"/>
      <c r="BJ204" s="716"/>
      <c r="BK204" s="716"/>
      <c r="BL204" s="152"/>
      <c r="BM204" s="152"/>
      <c r="BN204" s="108"/>
      <c r="BO204" s="786">
        <f>BH204/BH205</f>
        <v>8.0572018898987725</v>
      </c>
      <c r="BP204" s="787"/>
      <c r="BQ204" s="787"/>
      <c r="BR204" s="787"/>
      <c r="BS204" s="704" t="str">
        <f>IF(BO204&gt;BT204,"&gt;","&lt;")</f>
        <v>&gt;</v>
      </c>
      <c r="BT204" s="704">
        <f>U76</f>
        <v>1</v>
      </c>
      <c r="BU204" s="704"/>
      <c r="BV204" s="760" t="str">
        <f>IF(BO204&gt;BT204,"Hence safe","Hence Unsafe")</f>
        <v>Hence safe</v>
      </c>
      <c r="BW204" s="760"/>
      <c r="BX204" s="760"/>
      <c r="BY204" s="760"/>
      <c r="BZ204" s="761"/>
    </row>
    <row r="205" spans="1:78" x14ac:dyDescent="0.35">
      <c r="A205" s="42"/>
      <c r="B205" s="42"/>
      <c r="C205" s="323"/>
      <c r="AU205" s="770"/>
      <c r="AV205" s="771"/>
      <c r="AW205" s="751"/>
      <c r="AX205" s="752"/>
      <c r="AY205" s="752"/>
      <c r="AZ205" s="752"/>
      <c r="BA205" s="752"/>
      <c r="BB205" s="752"/>
      <c r="BC205" s="752"/>
      <c r="BD205" s="752"/>
      <c r="BE205" s="752"/>
      <c r="BF205" s="752"/>
      <c r="BG205" s="765"/>
      <c r="BH205" s="708">
        <f>BO203</f>
        <v>88.475224884335361</v>
      </c>
      <c r="BI205" s="708"/>
      <c r="BJ205" s="708"/>
      <c r="BK205" s="708"/>
      <c r="BL205" s="151"/>
      <c r="BM205" s="151"/>
      <c r="BN205" s="153"/>
      <c r="BO205" s="711"/>
      <c r="BP205" s="712"/>
      <c r="BQ205" s="712"/>
      <c r="BR205" s="712"/>
      <c r="BS205" s="672"/>
      <c r="BT205" s="672"/>
      <c r="BU205" s="672"/>
      <c r="BV205" s="762"/>
      <c r="BW205" s="762"/>
      <c r="BX205" s="762"/>
      <c r="BY205" s="762"/>
      <c r="BZ205" s="763"/>
    </row>
    <row r="206" spans="1:78" ht="4.5" customHeight="1" x14ac:dyDescent="0.35">
      <c r="A206" s="42"/>
      <c r="B206" s="42"/>
      <c r="C206" s="321"/>
      <c r="AU206" s="768">
        <v>4</v>
      </c>
      <c r="AV206" s="769"/>
      <c r="AW206" s="748" t="s">
        <v>191</v>
      </c>
      <c r="AX206" s="749"/>
      <c r="AY206" s="749"/>
      <c r="AZ206" s="749"/>
      <c r="BA206" s="749"/>
      <c r="BB206" s="749"/>
      <c r="BC206" s="749"/>
      <c r="BD206" s="749"/>
      <c r="BE206" s="749"/>
      <c r="BF206" s="749"/>
      <c r="BG206" s="764" t="s">
        <v>0</v>
      </c>
      <c r="BH206" s="670">
        <f>U72</f>
        <v>0.57735026918962573</v>
      </c>
      <c r="BI206" s="670"/>
      <c r="BJ206" s="152" t="s">
        <v>21</v>
      </c>
      <c r="BK206" s="669">
        <f>W161</f>
        <v>303.50131228682142</v>
      </c>
      <c r="BL206" s="669"/>
      <c r="BM206" s="669"/>
      <c r="BN206" s="108"/>
      <c r="BO206" s="709">
        <f>BH206*BK206/BJ207</f>
        <v>3.4099312313063295</v>
      </c>
      <c r="BP206" s="710"/>
      <c r="BQ206" s="710"/>
      <c r="BR206" s="710"/>
      <c r="BS206" s="670" t="str">
        <f>IF(BO206&gt;BT206,"&gt;","&lt;")</f>
        <v>&gt;</v>
      </c>
      <c r="BT206" s="670">
        <f>U77</f>
        <v>1</v>
      </c>
      <c r="BU206" s="670"/>
      <c r="BV206" s="766" t="str">
        <f>IF(BO206&gt;BT206,"Hence safe","Hence Unsafe,  To make it safe we have to provide a shear key")</f>
        <v>Hence safe</v>
      </c>
      <c r="BW206" s="766"/>
      <c r="BX206" s="766"/>
      <c r="BY206" s="766"/>
      <c r="BZ206" s="767"/>
    </row>
    <row r="207" spans="1:78" ht="3.75" customHeight="1" x14ac:dyDescent="0.35">
      <c r="A207" s="42"/>
      <c r="B207" s="42"/>
      <c r="C207" s="361"/>
      <c r="AU207" s="770"/>
      <c r="AV207" s="771"/>
      <c r="AW207" s="751"/>
      <c r="AX207" s="752"/>
      <c r="AY207" s="752"/>
      <c r="AZ207" s="752"/>
      <c r="BA207" s="752"/>
      <c r="BB207" s="752"/>
      <c r="BC207" s="752"/>
      <c r="BD207" s="752"/>
      <c r="BE207" s="752"/>
      <c r="BF207" s="752"/>
      <c r="BG207" s="765"/>
      <c r="BH207" s="151"/>
      <c r="BI207" s="123"/>
      <c r="BJ207" s="708">
        <f>W144+W146</f>
        <v>51.387125564134173</v>
      </c>
      <c r="BK207" s="672"/>
      <c r="BL207" s="672"/>
      <c r="BM207" s="151"/>
      <c r="BN207" s="153"/>
      <c r="BO207" s="711"/>
      <c r="BP207" s="712"/>
      <c r="BQ207" s="712"/>
      <c r="BR207" s="712"/>
      <c r="BS207" s="672"/>
      <c r="BT207" s="672"/>
      <c r="BU207" s="672"/>
      <c r="BV207" s="762"/>
      <c r="BW207" s="762"/>
      <c r="BX207" s="762"/>
      <c r="BY207" s="762"/>
      <c r="BZ207" s="763"/>
    </row>
    <row r="208" spans="1:78" x14ac:dyDescent="0.35">
      <c r="A208" s="42"/>
      <c r="B208" s="42"/>
      <c r="C208" s="342" t="s">
        <v>451</v>
      </c>
      <c r="S208" s="86"/>
      <c r="T208" s="86"/>
      <c r="U208" s="169"/>
    </row>
    <row r="209" spans="1:43" s="135" customFormat="1" x14ac:dyDescent="0.35">
      <c r="A209" s="134"/>
      <c r="B209" s="134"/>
      <c r="C209" s="668" t="s">
        <v>179</v>
      </c>
      <c r="D209" s="668"/>
      <c r="E209" s="668"/>
      <c r="F209" s="668"/>
      <c r="G209" s="668"/>
      <c r="H209" s="668"/>
      <c r="I209" s="668"/>
      <c r="J209" s="668"/>
      <c r="K209" s="668"/>
      <c r="L209" s="668"/>
      <c r="M209" s="668"/>
      <c r="N209" s="668"/>
      <c r="O209" s="668" t="s">
        <v>192</v>
      </c>
      <c r="P209" s="668"/>
      <c r="Q209" s="668"/>
      <c r="R209" s="668"/>
      <c r="S209" s="668"/>
      <c r="T209" s="668"/>
      <c r="U209" s="668"/>
      <c r="V209" s="668"/>
      <c r="W209" s="668"/>
      <c r="X209" s="668"/>
      <c r="Y209" s="668"/>
      <c r="Z209" s="668"/>
      <c r="AA209" s="668"/>
      <c r="AB209" s="668"/>
      <c r="AC209" s="668"/>
      <c r="AD209" s="668"/>
      <c r="AE209" s="668"/>
      <c r="AF209" s="668"/>
      <c r="AG209" s="668"/>
      <c r="AH209" s="668"/>
      <c r="AI209" s="668"/>
      <c r="AJ209" s="668"/>
      <c r="AK209" s="668"/>
    </row>
    <row r="210" spans="1:43" s="135" customFormat="1" x14ac:dyDescent="0.35">
      <c r="A210" s="134"/>
      <c r="B210" s="134"/>
      <c r="C210" s="668"/>
      <c r="D210" s="668"/>
      <c r="E210" s="668"/>
      <c r="F210" s="668"/>
      <c r="G210" s="668"/>
      <c r="H210" s="668"/>
      <c r="I210" s="668"/>
      <c r="J210" s="668"/>
      <c r="K210" s="668"/>
      <c r="L210" s="668"/>
      <c r="M210" s="668"/>
      <c r="N210" s="668"/>
      <c r="O210" s="668"/>
      <c r="P210" s="668"/>
      <c r="Q210" s="668"/>
      <c r="R210" s="668"/>
      <c r="S210" s="668"/>
      <c r="T210" s="668"/>
      <c r="U210" s="668"/>
      <c r="V210" s="668"/>
      <c r="W210" s="668"/>
      <c r="X210" s="668"/>
      <c r="Y210" s="668"/>
      <c r="Z210" s="668"/>
      <c r="AA210" s="668"/>
      <c r="AB210" s="668"/>
      <c r="AC210" s="668"/>
      <c r="AD210" s="668"/>
      <c r="AE210" s="668"/>
      <c r="AF210" s="668"/>
      <c r="AG210" s="668"/>
      <c r="AH210" s="668"/>
      <c r="AI210" s="668"/>
      <c r="AJ210" s="668"/>
      <c r="AK210" s="668"/>
    </row>
    <row r="211" spans="1:43" s="135" customFormat="1" x14ac:dyDescent="0.3">
      <c r="A211" s="134"/>
      <c r="B211" s="134"/>
      <c r="C211" s="155" t="s">
        <v>40</v>
      </c>
      <c r="D211" s="138"/>
      <c r="E211" s="138"/>
      <c r="F211" s="138"/>
      <c r="G211" s="138"/>
      <c r="H211" s="138"/>
      <c r="I211" s="138"/>
      <c r="J211" s="138"/>
      <c r="K211" s="138"/>
      <c r="L211" s="138"/>
      <c r="M211" s="138"/>
      <c r="N211" s="108"/>
      <c r="O211" s="821">
        <f>O202</f>
        <v>962.36471134883573</v>
      </c>
      <c r="P211" s="822"/>
      <c r="Q211" s="822"/>
      <c r="R211" s="822"/>
      <c r="S211" s="825">
        <f>T202</f>
        <v>117.43075302829966</v>
      </c>
      <c r="T211" s="825"/>
      <c r="U211" s="825"/>
      <c r="V211" s="825"/>
      <c r="W211" s="735">
        <f>L202</f>
        <v>409.72677158720899</v>
      </c>
      <c r="X211" s="735"/>
      <c r="Y211" s="735"/>
      <c r="Z211" s="735"/>
      <c r="AA211" s="152"/>
      <c r="AB211" s="152"/>
      <c r="AC211" s="152"/>
      <c r="AD211" s="108"/>
      <c r="AE211" s="709">
        <f>(O211-S211)/W211</f>
        <v>2.062188797298774</v>
      </c>
      <c r="AF211" s="710"/>
      <c r="AG211" s="710"/>
      <c r="AH211" s="710"/>
      <c r="AI211" s="670" t="s">
        <v>1</v>
      </c>
      <c r="AJ211" s="670"/>
      <c r="AK211" s="671"/>
    </row>
    <row r="212" spans="1:43" s="135" customFormat="1" x14ac:dyDescent="0.3">
      <c r="A212" s="134"/>
      <c r="B212" s="134"/>
      <c r="C212" s="156" t="s">
        <v>180</v>
      </c>
      <c r="D212" s="132"/>
      <c r="E212" s="132"/>
      <c r="F212" s="132"/>
      <c r="G212" s="132"/>
      <c r="H212" s="132"/>
      <c r="I212" s="132"/>
      <c r="J212" s="132"/>
      <c r="K212" s="132"/>
      <c r="L212" s="132"/>
      <c r="M212" s="132"/>
      <c r="N212" s="133"/>
      <c r="O212" s="823"/>
      <c r="P212" s="824"/>
      <c r="Q212" s="824"/>
      <c r="R212" s="824"/>
      <c r="S212" s="826"/>
      <c r="T212" s="826"/>
      <c r="U212" s="826"/>
      <c r="V212" s="826"/>
      <c r="W212" s="736"/>
      <c r="X212" s="736"/>
      <c r="Y212" s="736"/>
      <c r="Z212" s="736"/>
      <c r="AA212" s="151"/>
      <c r="AB212" s="151"/>
      <c r="AC212" s="151"/>
      <c r="AD212" s="153"/>
      <c r="AE212" s="711"/>
      <c r="AF212" s="712"/>
      <c r="AG212" s="712"/>
      <c r="AH212" s="712"/>
      <c r="AI212" s="672"/>
      <c r="AJ212" s="672"/>
      <c r="AK212" s="673"/>
    </row>
    <row r="213" spans="1:43" s="135" customFormat="1" x14ac:dyDescent="0.35">
      <c r="A213" s="134"/>
      <c r="B213" s="134"/>
      <c r="C213" s="146" t="s">
        <v>187</v>
      </c>
      <c r="D213" s="144"/>
      <c r="E213" s="144"/>
      <c r="F213" s="144"/>
      <c r="G213" s="144"/>
      <c r="H213" s="144"/>
      <c r="I213" s="157"/>
      <c r="J213" s="136"/>
      <c r="K213" s="136"/>
      <c r="L213" s="136"/>
      <c r="M213" s="136"/>
      <c r="N213" s="137"/>
      <c r="O213" s="809">
        <f>U12</f>
        <v>4</v>
      </c>
      <c r="P213" s="810"/>
      <c r="Q213" s="810"/>
      <c r="R213" s="811" t="s">
        <v>181</v>
      </c>
      <c r="S213" s="811"/>
      <c r="T213" s="148" t="s">
        <v>23</v>
      </c>
      <c r="U213" s="689">
        <f>AE211</f>
        <v>2.062188797298774</v>
      </c>
      <c r="V213" s="689"/>
      <c r="W213" s="689"/>
      <c r="X213" s="148"/>
      <c r="Y213" s="148"/>
      <c r="Z213" s="148"/>
      <c r="AA213" s="148"/>
      <c r="AB213" s="148"/>
      <c r="AC213" s="148"/>
      <c r="AD213" s="149"/>
      <c r="AE213" s="690">
        <f>(O213/2)-U213</f>
        <v>-6.2188797298774023E-2</v>
      </c>
      <c r="AF213" s="691"/>
      <c r="AG213" s="691"/>
      <c r="AH213" s="691"/>
      <c r="AI213" s="729" t="s">
        <v>1</v>
      </c>
      <c r="AJ213" s="729"/>
      <c r="AK213" s="755"/>
    </row>
    <row r="214" spans="1:43" s="135" customFormat="1" ht="15" customHeight="1" x14ac:dyDescent="0.35">
      <c r="A214" s="134"/>
      <c r="B214" s="134"/>
      <c r="C214" s="675" t="s">
        <v>183</v>
      </c>
      <c r="D214" s="676"/>
      <c r="E214" s="676"/>
      <c r="F214" s="676"/>
      <c r="G214" s="676"/>
      <c r="H214" s="676"/>
      <c r="I214" s="676"/>
      <c r="J214" s="676"/>
      <c r="K214" s="138"/>
      <c r="L214" s="138"/>
      <c r="M214" s="138"/>
      <c r="N214" s="108"/>
      <c r="O214" s="737">
        <f>L202</f>
        <v>409.72677158720899</v>
      </c>
      <c r="P214" s="737"/>
      <c r="Q214" s="737"/>
      <c r="R214" s="747" t="s">
        <v>22</v>
      </c>
      <c r="S214" s="695">
        <v>1</v>
      </c>
      <c r="T214" s="695" t="s">
        <v>25</v>
      </c>
      <c r="U214" s="164">
        <v>6</v>
      </c>
      <c r="V214" s="164" t="s">
        <v>21</v>
      </c>
      <c r="W214" s="689">
        <f>AE213</f>
        <v>-6.2188797298774023E-2</v>
      </c>
      <c r="X214" s="689"/>
      <c r="Y214" s="689"/>
      <c r="Z214" s="747" t="s">
        <v>26</v>
      </c>
      <c r="AE214" s="715">
        <f>(O214/O215)*(S214+((U214*W214)/U215))</f>
        <v>92.876537217007993</v>
      </c>
      <c r="AF214" s="716"/>
      <c r="AG214" s="716"/>
      <c r="AH214" s="716"/>
      <c r="AI214" s="670" t="s">
        <v>182</v>
      </c>
      <c r="AJ214" s="670"/>
      <c r="AK214" s="671"/>
      <c r="AL214" s="106" t="str">
        <f>IF(AM214&gt;AE214,"&lt;","&gt;")</f>
        <v>&lt;</v>
      </c>
      <c r="AM214" s="925">
        <f>U74</f>
        <v>200</v>
      </c>
      <c r="AN214" s="925"/>
      <c r="AO214" s="925"/>
      <c r="AP214" s="925"/>
      <c r="AQ214" s="926"/>
    </row>
    <row r="215" spans="1:43" s="135" customFormat="1" ht="15" customHeight="1" x14ac:dyDescent="0.35">
      <c r="A215" s="134"/>
      <c r="B215" s="134"/>
      <c r="C215" s="677"/>
      <c r="D215" s="678"/>
      <c r="E215" s="678"/>
      <c r="F215" s="678"/>
      <c r="G215" s="678"/>
      <c r="H215" s="678"/>
      <c r="I215" s="678"/>
      <c r="J215" s="678"/>
      <c r="K215" s="132"/>
      <c r="L215" s="132"/>
      <c r="M215" s="132"/>
      <c r="N215" s="133"/>
      <c r="O215" s="669">
        <f>Q114</f>
        <v>4</v>
      </c>
      <c r="P215" s="670"/>
      <c r="Q215" s="670"/>
      <c r="R215" s="747"/>
      <c r="S215" s="695"/>
      <c r="T215" s="695"/>
      <c r="U215" s="754">
        <f>O215</f>
        <v>4</v>
      </c>
      <c r="V215" s="704"/>
      <c r="W215" s="704"/>
      <c r="X215" s="704"/>
      <c r="Y215" s="174"/>
      <c r="Z215" s="747"/>
      <c r="AE215" s="717"/>
      <c r="AF215" s="708"/>
      <c r="AG215" s="708"/>
      <c r="AH215" s="708"/>
      <c r="AI215" s="672"/>
      <c r="AJ215" s="672"/>
      <c r="AK215" s="673"/>
      <c r="AL215" s="931" t="str">
        <f>IF(AE214&lt;AM214,"Safe","Hence Unsafe")</f>
        <v>Safe</v>
      </c>
      <c r="AM215" s="762"/>
      <c r="AN215" s="762"/>
      <c r="AO215" s="762"/>
      <c r="AP215" s="762"/>
      <c r="AQ215" s="763"/>
    </row>
    <row r="216" spans="1:43" s="135" customFormat="1" ht="15" customHeight="1" x14ac:dyDescent="0.35">
      <c r="A216" s="134"/>
      <c r="B216" s="134"/>
      <c r="C216" s="675" t="s">
        <v>184</v>
      </c>
      <c r="D216" s="676"/>
      <c r="E216" s="676"/>
      <c r="F216" s="676"/>
      <c r="G216" s="676"/>
      <c r="H216" s="676"/>
      <c r="I216" s="676"/>
      <c r="J216" s="676"/>
      <c r="K216" s="138"/>
      <c r="L216" s="138"/>
      <c r="M216" s="138"/>
      <c r="N216" s="108"/>
      <c r="O216" s="679">
        <f>O214</f>
        <v>409.72677158720899</v>
      </c>
      <c r="P216" s="669"/>
      <c r="Q216" s="669"/>
      <c r="R216" s="680" t="s">
        <v>22</v>
      </c>
      <c r="S216" s="670">
        <v>1</v>
      </c>
      <c r="T216" s="670" t="s">
        <v>23</v>
      </c>
      <c r="U216" s="164">
        <v>6</v>
      </c>
      <c r="V216" s="164" t="s">
        <v>21</v>
      </c>
      <c r="W216" s="689">
        <f>W214</f>
        <v>-6.2188797298774023E-2</v>
      </c>
      <c r="X216" s="689"/>
      <c r="Y216" s="689"/>
      <c r="Z216" s="680" t="s">
        <v>26</v>
      </c>
      <c r="AA216" s="163"/>
      <c r="AB216" s="163"/>
      <c r="AC216" s="163"/>
      <c r="AD216" s="108"/>
      <c r="AE216" s="715">
        <f>(O214/O215)*(S214-((U214*W214)/U215))</f>
        <v>111.9868485765965</v>
      </c>
      <c r="AF216" s="716"/>
      <c r="AG216" s="716"/>
      <c r="AH216" s="716"/>
      <c r="AI216" s="670" t="s">
        <v>182</v>
      </c>
      <c r="AJ216" s="670"/>
      <c r="AK216" s="671"/>
      <c r="AL216" s="106" t="str">
        <f>IF(AM216&gt;AE216,"&lt;","&gt;")</f>
        <v>&gt;</v>
      </c>
      <c r="AM216" s="925">
        <v>0</v>
      </c>
      <c r="AN216" s="925"/>
      <c r="AO216" s="925"/>
      <c r="AP216" s="925"/>
      <c r="AQ216" s="926"/>
    </row>
    <row r="217" spans="1:43" s="135" customFormat="1" ht="15" customHeight="1" x14ac:dyDescent="0.35">
      <c r="A217" s="134"/>
      <c r="B217" s="134"/>
      <c r="C217" s="677"/>
      <c r="D217" s="678"/>
      <c r="E217" s="678"/>
      <c r="F217" s="678"/>
      <c r="G217" s="678"/>
      <c r="H217" s="678"/>
      <c r="I217" s="678"/>
      <c r="J217" s="678"/>
      <c r="K217" s="132"/>
      <c r="L217" s="132"/>
      <c r="M217" s="132"/>
      <c r="N217" s="133"/>
      <c r="O217" s="756">
        <f>O215</f>
        <v>4</v>
      </c>
      <c r="P217" s="729"/>
      <c r="Q217" s="729"/>
      <c r="R217" s="681"/>
      <c r="S217" s="672"/>
      <c r="T217" s="672"/>
      <c r="U217" s="674">
        <f>U215</f>
        <v>4</v>
      </c>
      <c r="V217" s="672"/>
      <c r="W217" s="672"/>
      <c r="X217" s="672"/>
      <c r="Y217" s="175"/>
      <c r="Z217" s="681"/>
      <c r="AA217" s="160"/>
      <c r="AB217" s="160"/>
      <c r="AC217" s="160"/>
      <c r="AD217" s="161"/>
      <c r="AE217" s="717"/>
      <c r="AF217" s="708"/>
      <c r="AG217" s="708"/>
      <c r="AH217" s="708"/>
      <c r="AI217" s="672"/>
      <c r="AJ217" s="672"/>
      <c r="AK217" s="673"/>
      <c r="AL217" s="931" t="str">
        <f>IF(AE216&gt;AM216,"Safe","Hence Unsafe")</f>
        <v>Safe</v>
      </c>
      <c r="AM217" s="762"/>
      <c r="AN217" s="762"/>
      <c r="AO217" s="762"/>
      <c r="AP217" s="762"/>
      <c r="AQ217" s="763"/>
    </row>
    <row r="218" spans="1:43" s="135" customFormat="1" ht="15" customHeight="1" x14ac:dyDescent="0.35">
      <c r="A218" s="134"/>
      <c r="B218" s="134"/>
      <c r="C218" s="748" t="s">
        <v>185</v>
      </c>
      <c r="D218" s="749"/>
      <c r="E218" s="749"/>
      <c r="F218" s="749"/>
      <c r="G218" s="749"/>
      <c r="H218" s="749"/>
      <c r="I218" s="749"/>
      <c r="J218" s="749"/>
      <c r="K218" s="749"/>
      <c r="L218" s="749"/>
      <c r="M218" s="749"/>
      <c r="N218" s="750"/>
      <c r="O218" s="715">
        <f>AE214</f>
        <v>92.876537217007993</v>
      </c>
      <c r="P218" s="716"/>
      <c r="Q218" s="716"/>
      <c r="R218" s="716"/>
      <c r="S218" s="670" t="s">
        <v>23</v>
      </c>
      <c r="T218" s="689">
        <f>AE214</f>
        <v>92.876537217007993</v>
      </c>
      <c r="U218" s="689"/>
      <c r="V218" s="689"/>
      <c r="W218" s="409" t="s">
        <v>23</v>
      </c>
      <c r="X218" s="689">
        <f>AE216</f>
        <v>111.9868485765965</v>
      </c>
      <c r="Y218" s="689"/>
      <c r="Z218" s="689"/>
      <c r="AA218" s="670" t="s">
        <v>21</v>
      </c>
      <c r="AB218" s="716">
        <f>P113</f>
        <v>0.7</v>
      </c>
      <c r="AC218" s="716"/>
      <c r="AD218" s="718"/>
      <c r="AE218" s="709">
        <f>O218-((T218-X218)/V219)*AB218</f>
        <v>96.220841704935978</v>
      </c>
      <c r="AF218" s="710"/>
      <c r="AG218" s="710"/>
      <c r="AH218" s="710"/>
      <c r="AI218" s="670" t="s">
        <v>182</v>
      </c>
      <c r="AJ218" s="670"/>
      <c r="AK218" s="671"/>
    </row>
    <row r="219" spans="1:43" s="135" customFormat="1" x14ac:dyDescent="0.35">
      <c r="A219" s="134"/>
      <c r="B219" s="134"/>
      <c r="C219" s="751"/>
      <c r="D219" s="752"/>
      <c r="E219" s="752"/>
      <c r="F219" s="752"/>
      <c r="G219" s="752"/>
      <c r="H219" s="752"/>
      <c r="I219" s="752"/>
      <c r="J219" s="752"/>
      <c r="K219" s="752"/>
      <c r="L219" s="752"/>
      <c r="M219" s="752"/>
      <c r="N219" s="753"/>
      <c r="O219" s="717"/>
      <c r="P219" s="708"/>
      <c r="Q219" s="708"/>
      <c r="R219" s="708"/>
      <c r="S219" s="672"/>
      <c r="T219" s="151"/>
      <c r="U219" s="151"/>
      <c r="V219" s="708">
        <f>O213</f>
        <v>4</v>
      </c>
      <c r="W219" s="708"/>
      <c r="X219" s="708"/>
      <c r="Y219" s="151"/>
      <c r="Z219" s="151"/>
      <c r="AA219" s="672"/>
      <c r="AB219" s="708"/>
      <c r="AC219" s="708"/>
      <c r="AD219" s="719"/>
      <c r="AE219" s="711"/>
      <c r="AF219" s="712"/>
      <c r="AG219" s="712"/>
      <c r="AH219" s="712"/>
      <c r="AI219" s="672"/>
      <c r="AJ219" s="672"/>
      <c r="AK219" s="673"/>
    </row>
    <row r="220" spans="1:43" s="135" customFormat="1" ht="15" customHeight="1" x14ac:dyDescent="0.35">
      <c r="A220" s="134"/>
      <c r="B220" s="134"/>
      <c r="C220" s="748" t="s">
        <v>186</v>
      </c>
      <c r="D220" s="749"/>
      <c r="E220" s="749"/>
      <c r="F220" s="749"/>
      <c r="G220" s="749"/>
      <c r="H220" s="749"/>
      <c r="I220" s="749"/>
      <c r="J220" s="749"/>
      <c r="K220" s="749"/>
      <c r="L220" s="749"/>
      <c r="M220" s="749"/>
      <c r="N220" s="750"/>
      <c r="O220" s="715">
        <f>O218</f>
        <v>92.876537217007993</v>
      </c>
      <c r="P220" s="716"/>
      <c r="Q220" s="716"/>
      <c r="R220" s="716"/>
      <c r="S220" s="670" t="s">
        <v>23</v>
      </c>
      <c r="T220" s="815">
        <f>T218</f>
        <v>92.876537217007993</v>
      </c>
      <c r="U220" s="815"/>
      <c r="V220" s="815"/>
      <c r="W220" s="409" t="s">
        <v>23</v>
      </c>
      <c r="X220" s="689">
        <f>X218</f>
        <v>111.9868485765965</v>
      </c>
      <c r="Y220" s="689"/>
      <c r="Z220" s="689"/>
      <c r="AA220" s="670" t="s">
        <v>21</v>
      </c>
      <c r="AB220" s="716">
        <f>Z113</f>
        <v>2.8</v>
      </c>
      <c r="AC220" s="716"/>
      <c r="AD220" s="718"/>
      <c r="AE220" s="709">
        <f>O220-((T220-X220)/V221)*AB220</f>
        <v>106.25375516871995</v>
      </c>
      <c r="AF220" s="710"/>
      <c r="AG220" s="710"/>
      <c r="AH220" s="710"/>
      <c r="AI220" s="670" t="s">
        <v>182</v>
      </c>
      <c r="AJ220" s="670"/>
      <c r="AK220" s="671"/>
    </row>
    <row r="221" spans="1:43" s="135" customFormat="1" x14ac:dyDescent="0.35">
      <c r="A221" s="134"/>
      <c r="B221" s="134"/>
      <c r="C221" s="751"/>
      <c r="D221" s="752"/>
      <c r="E221" s="752"/>
      <c r="F221" s="752"/>
      <c r="G221" s="752"/>
      <c r="H221" s="752"/>
      <c r="I221" s="752"/>
      <c r="J221" s="752"/>
      <c r="K221" s="752"/>
      <c r="L221" s="752"/>
      <c r="M221" s="752"/>
      <c r="N221" s="753"/>
      <c r="O221" s="717"/>
      <c r="P221" s="708"/>
      <c r="Q221" s="708"/>
      <c r="R221" s="708"/>
      <c r="S221" s="672"/>
      <c r="T221" s="151"/>
      <c r="U221" s="151"/>
      <c r="V221" s="674">
        <f>V219</f>
        <v>4</v>
      </c>
      <c r="W221" s="672"/>
      <c r="X221" s="672"/>
      <c r="Y221" s="151"/>
      <c r="Z221" s="151"/>
      <c r="AA221" s="672"/>
      <c r="AB221" s="708"/>
      <c r="AC221" s="708"/>
      <c r="AD221" s="719"/>
      <c r="AE221" s="711"/>
      <c r="AF221" s="712"/>
      <c r="AG221" s="712"/>
      <c r="AH221" s="712"/>
      <c r="AI221" s="672"/>
      <c r="AJ221" s="672"/>
      <c r="AK221" s="673"/>
    </row>
    <row r="222" spans="1:43" s="135" customFormat="1" x14ac:dyDescent="0.35">
      <c r="A222" s="134"/>
      <c r="B222" s="134"/>
      <c r="C222" s="134"/>
      <c r="P222" s="139"/>
      <c r="Q222" s="139"/>
      <c r="R222" s="139"/>
    </row>
    <row r="223" spans="1:43" s="347" customFormat="1" x14ac:dyDescent="0.35">
      <c r="A223" s="346"/>
      <c r="B223" s="213"/>
      <c r="C223" s="345" t="s">
        <v>398</v>
      </c>
      <c r="D223" s="158"/>
      <c r="E223" s="158"/>
      <c r="F223" s="158"/>
      <c r="G223" s="158"/>
      <c r="H223" s="158"/>
      <c r="I223" s="158"/>
      <c r="J223" s="158"/>
      <c r="K223" s="158"/>
      <c r="L223" s="158"/>
      <c r="M223" s="158"/>
      <c r="N223" s="158"/>
      <c r="O223" s="158"/>
      <c r="P223" s="158"/>
      <c r="Q223" s="158"/>
      <c r="R223" s="158"/>
      <c r="S223" s="158"/>
      <c r="T223" s="158"/>
      <c r="U223" s="158"/>
      <c r="V223" s="158"/>
      <c r="W223" s="158"/>
      <c r="X223" s="158"/>
      <c r="Y223" s="158"/>
      <c r="Z223" s="158"/>
      <c r="AA223" s="158"/>
      <c r="AB223" s="158"/>
      <c r="AC223" s="158"/>
      <c r="AD223" s="158"/>
      <c r="AE223" s="158"/>
      <c r="AF223" s="158"/>
      <c r="AG223" s="158"/>
      <c r="AH223" s="158"/>
      <c r="AI223" s="158"/>
      <c r="AJ223" s="158"/>
      <c r="AK223" s="158"/>
      <c r="AL223" s="158"/>
      <c r="AM223" s="158"/>
      <c r="AN223" s="158"/>
      <c r="AO223" s="158"/>
      <c r="AP223" s="158"/>
      <c r="AQ223" s="158"/>
    </row>
    <row r="224" spans="1:43" s="347" customFormat="1" x14ac:dyDescent="0.35">
      <c r="A224" s="346"/>
      <c r="B224" s="213"/>
      <c r="C224" s="213"/>
      <c r="D224" s="158"/>
      <c r="E224" s="158"/>
      <c r="F224" s="158"/>
      <c r="G224" s="158"/>
      <c r="H224" s="158"/>
      <c r="I224" s="158"/>
      <c r="J224" s="158"/>
      <c r="K224" s="158"/>
      <c r="L224" s="158"/>
      <c r="M224" s="158"/>
      <c r="N224" s="158"/>
      <c r="O224" s="158"/>
      <c r="P224" s="158"/>
      <c r="Q224" s="158"/>
      <c r="R224" s="158"/>
      <c r="S224" s="158"/>
      <c r="T224" s="158"/>
      <c r="U224" s="158"/>
      <c r="V224" s="158"/>
      <c r="W224" s="158"/>
      <c r="X224" s="158"/>
      <c r="Y224" s="158"/>
      <c r="Z224" s="158"/>
      <c r="AA224" s="158"/>
      <c r="AB224" s="158"/>
      <c r="AC224" s="158"/>
      <c r="AD224" s="158"/>
      <c r="AE224" s="158"/>
      <c r="AF224" s="158"/>
      <c r="AG224" s="158"/>
      <c r="AH224" s="158"/>
      <c r="AI224" s="158"/>
      <c r="AJ224" s="158"/>
      <c r="AK224" s="158"/>
      <c r="AL224" s="158"/>
      <c r="AM224" s="158"/>
      <c r="AN224" s="158"/>
      <c r="AO224" s="158"/>
      <c r="AP224" s="158"/>
      <c r="AQ224" s="158"/>
    </row>
    <row r="225" spans="1:43" s="347" customFormat="1" x14ac:dyDescent="0.35">
      <c r="A225" s="346"/>
      <c r="B225" s="346"/>
      <c r="C225" s="213" t="s">
        <v>512</v>
      </c>
    </row>
    <row r="226" spans="1:43" s="347" customFormat="1" x14ac:dyDescent="0.35">
      <c r="A226" s="346"/>
      <c r="B226" s="346"/>
      <c r="C226" s="213"/>
    </row>
    <row r="227" spans="1:43" s="347" customFormat="1" x14ac:dyDescent="0.35">
      <c r="A227" s="346"/>
      <c r="B227" s="346"/>
      <c r="C227" s="342" t="s">
        <v>452</v>
      </c>
    </row>
    <row r="228" spans="1:43" s="347" customFormat="1" x14ac:dyDescent="0.35">
      <c r="A228" s="346"/>
      <c r="B228" s="213"/>
      <c r="C228" s="668" t="s">
        <v>355</v>
      </c>
      <c r="D228" s="668"/>
      <c r="E228" s="668"/>
      <c r="F228" s="668"/>
      <c r="G228" s="668"/>
      <c r="H228" s="668"/>
      <c r="I228" s="668"/>
      <c r="J228" s="668" t="s">
        <v>356</v>
      </c>
      <c r="K228" s="668"/>
      <c r="L228" s="668"/>
      <c r="M228" s="668"/>
      <c r="N228" s="668"/>
      <c r="O228" s="668"/>
      <c r="P228" s="668" t="s">
        <v>399</v>
      </c>
      <c r="Q228" s="668"/>
      <c r="R228" s="668"/>
      <c r="S228" s="668"/>
      <c r="T228" s="668"/>
      <c r="U228" s="668"/>
      <c r="V228" s="668" t="s">
        <v>400</v>
      </c>
      <c r="W228" s="668"/>
      <c r="X228" s="668"/>
      <c r="Y228" s="668"/>
      <c r="Z228" s="668"/>
      <c r="AA228" s="668"/>
      <c r="AB228" s="158"/>
      <c r="AC228" s="158"/>
      <c r="AD228" s="158"/>
      <c r="AE228" s="158"/>
      <c r="AF228" s="158"/>
      <c r="AH228" s="158"/>
      <c r="AI228" s="158"/>
      <c r="AJ228" s="158"/>
      <c r="AK228" s="158"/>
      <c r="AL228" s="158"/>
      <c r="AM228" s="158"/>
      <c r="AN228" s="158"/>
      <c r="AO228" s="158"/>
      <c r="AP228" s="158"/>
      <c r="AQ228" s="158"/>
    </row>
    <row r="229" spans="1:43" s="347" customFormat="1" x14ac:dyDescent="0.35">
      <c r="A229" s="346"/>
      <c r="B229" s="213"/>
      <c r="C229" s="668"/>
      <c r="D229" s="668"/>
      <c r="E229" s="668"/>
      <c r="F229" s="668"/>
      <c r="G229" s="668"/>
      <c r="H229" s="668"/>
      <c r="I229" s="668"/>
      <c r="J229" s="668" t="s">
        <v>276</v>
      </c>
      <c r="K229" s="668"/>
      <c r="L229" s="668"/>
      <c r="M229" s="668"/>
      <c r="N229" s="668"/>
      <c r="O229" s="668"/>
      <c r="P229" s="668" t="s">
        <v>276</v>
      </c>
      <c r="Q229" s="668"/>
      <c r="R229" s="668"/>
      <c r="S229" s="668"/>
      <c r="T229" s="668"/>
      <c r="U229" s="668"/>
      <c r="V229" s="668" t="s">
        <v>276</v>
      </c>
      <c r="W229" s="668"/>
      <c r="X229" s="668"/>
      <c r="Y229" s="668"/>
      <c r="Z229" s="668"/>
      <c r="AA229" s="668"/>
      <c r="AB229" s="158"/>
      <c r="AC229" s="158"/>
      <c r="AD229" s="158"/>
      <c r="AE229" s="158"/>
      <c r="AF229" s="158"/>
      <c r="AH229" s="158"/>
      <c r="AI229" s="158"/>
      <c r="AJ229" s="158"/>
      <c r="AK229" s="158"/>
      <c r="AL229" s="158"/>
      <c r="AM229" s="158"/>
      <c r="AN229" s="158"/>
      <c r="AO229" s="158"/>
      <c r="AP229" s="158"/>
      <c r="AQ229" s="158"/>
    </row>
    <row r="230" spans="1:43" s="347" customFormat="1" x14ac:dyDescent="0.35">
      <c r="A230" s="346"/>
      <c r="B230" s="213"/>
      <c r="C230" s="820" t="s">
        <v>359</v>
      </c>
      <c r="D230" s="820"/>
      <c r="E230" s="820"/>
      <c r="F230" s="820"/>
      <c r="G230" s="820"/>
      <c r="H230" s="820"/>
      <c r="I230" s="820"/>
      <c r="J230" s="667">
        <v>1.35</v>
      </c>
      <c r="K230" s="667"/>
      <c r="L230" s="667"/>
      <c r="M230" s="667"/>
      <c r="N230" s="667"/>
      <c r="O230" s="667"/>
      <c r="P230" s="667">
        <v>1</v>
      </c>
      <c r="Q230" s="667"/>
      <c r="R230" s="667"/>
      <c r="S230" s="667"/>
      <c r="T230" s="667"/>
      <c r="U230" s="667"/>
      <c r="V230" s="667">
        <v>1</v>
      </c>
      <c r="W230" s="667"/>
      <c r="X230" s="667"/>
      <c r="Y230" s="667"/>
      <c r="Z230" s="667"/>
      <c r="AA230" s="667"/>
      <c r="AB230" s="158"/>
      <c r="AC230" s="158"/>
      <c r="AD230" s="158"/>
      <c r="AE230" s="158"/>
      <c r="AF230" s="158"/>
      <c r="AG230" s="158"/>
      <c r="AH230" s="158"/>
      <c r="AI230" s="158"/>
      <c r="AJ230" s="158"/>
      <c r="AK230" s="158"/>
      <c r="AL230" s="158"/>
      <c r="AM230" s="158"/>
      <c r="AN230" s="158"/>
      <c r="AO230" s="158"/>
      <c r="AP230" s="158"/>
      <c r="AQ230" s="158"/>
    </row>
    <row r="231" spans="1:43" s="347" customFormat="1" x14ac:dyDescent="0.35">
      <c r="A231" s="346"/>
      <c r="B231" s="213"/>
      <c r="C231" s="820" t="s">
        <v>360</v>
      </c>
      <c r="D231" s="820"/>
      <c r="E231" s="820"/>
      <c r="F231" s="820"/>
      <c r="G231" s="820"/>
      <c r="H231" s="820"/>
      <c r="I231" s="820"/>
      <c r="J231" s="667">
        <v>1.5</v>
      </c>
      <c r="K231" s="667"/>
      <c r="L231" s="667"/>
      <c r="M231" s="667"/>
      <c r="N231" s="667"/>
      <c r="O231" s="667"/>
      <c r="P231" s="667">
        <v>1</v>
      </c>
      <c r="Q231" s="667"/>
      <c r="R231" s="667"/>
      <c r="S231" s="667"/>
      <c r="T231" s="667"/>
      <c r="U231" s="667"/>
      <c r="V231" s="667">
        <v>1</v>
      </c>
      <c r="W231" s="667"/>
      <c r="X231" s="667"/>
      <c r="Y231" s="667"/>
      <c r="Z231" s="667"/>
      <c r="AA231" s="667"/>
      <c r="AB231" s="158"/>
      <c r="AC231" s="158"/>
      <c r="AD231" s="158"/>
      <c r="AE231" s="158"/>
      <c r="AF231" s="158"/>
      <c r="AG231" s="158"/>
      <c r="AH231" s="158"/>
      <c r="AI231" s="158"/>
      <c r="AJ231" s="158"/>
      <c r="AK231" s="158"/>
      <c r="AL231" s="158"/>
      <c r="AM231" s="158"/>
      <c r="AN231" s="158"/>
      <c r="AO231" s="158"/>
      <c r="AP231" s="158"/>
      <c r="AQ231" s="158"/>
    </row>
    <row r="232" spans="1:43" s="347" customFormat="1" x14ac:dyDescent="0.35">
      <c r="A232" s="346"/>
      <c r="B232" s="213"/>
      <c r="C232" s="820" t="s">
        <v>361</v>
      </c>
      <c r="D232" s="820"/>
      <c r="E232" s="820"/>
      <c r="F232" s="820"/>
      <c r="G232" s="820"/>
      <c r="H232" s="820"/>
      <c r="I232" s="820"/>
      <c r="J232" s="667">
        <v>1.2</v>
      </c>
      <c r="K232" s="667"/>
      <c r="L232" s="667"/>
      <c r="M232" s="667"/>
      <c r="N232" s="667"/>
      <c r="O232" s="667"/>
      <c r="P232" s="667">
        <v>0.8</v>
      </c>
      <c r="Q232" s="667"/>
      <c r="R232" s="667"/>
      <c r="S232" s="667"/>
      <c r="T232" s="667"/>
      <c r="U232" s="667"/>
      <c r="V232" s="667">
        <v>0</v>
      </c>
      <c r="W232" s="667"/>
      <c r="X232" s="667"/>
      <c r="Y232" s="667"/>
      <c r="Z232" s="667"/>
      <c r="AA232" s="667"/>
      <c r="AB232" s="158"/>
      <c r="AC232" s="158"/>
      <c r="AD232" s="158"/>
      <c r="AE232" s="158"/>
      <c r="AF232" s="158"/>
      <c r="AG232" s="158"/>
      <c r="AH232" s="158"/>
      <c r="AI232" s="158"/>
      <c r="AJ232" s="158"/>
      <c r="AK232" s="158"/>
      <c r="AL232" s="158"/>
      <c r="AM232" s="158"/>
      <c r="AN232" s="158"/>
      <c r="AO232" s="158"/>
      <c r="AP232" s="158"/>
      <c r="AQ232" s="158"/>
    </row>
    <row r="233" spans="1:43" s="347" customFormat="1" x14ac:dyDescent="0.35">
      <c r="A233" s="346"/>
      <c r="B233" s="213"/>
      <c r="C233" s="213"/>
      <c r="D233" s="213"/>
      <c r="E233" s="213"/>
      <c r="F233" s="213"/>
      <c r="G233" s="213"/>
      <c r="H233" s="213"/>
      <c r="I233" s="213"/>
      <c r="J233" s="346"/>
      <c r="K233" s="346"/>
      <c r="L233" s="346"/>
      <c r="M233" s="346"/>
      <c r="N233" s="346"/>
      <c r="O233" s="346"/>
      <c r="P233" s="346"/>
      <c r="Q233" s="346"/>
      <c r="R233" s="346"/>
      <c r="S233" s="346"/>
      <c r="T233" s="346"/>
      <c r="U233" s="346"/>
      <c r="V233" s="346"/>
      <c r="W233" s="346"/>
      <c r="X233" s="346"/>
      <c r="Y233" s="346"/>
      <c r="Z233" s="346"/>
      <c r="AA233" s="346"/>
      <c r="AB233" s="158"/>
      <c r="AC233" s="158"/>
      <c r="AD233" s="158"/>
      <c r="AE233" s="158"/>
      <c r="AF233" s="158"/>
      <c r="AG233" s="158"/>
      <c r="AH233" s="158"/>
      <c r="AI233" s="158"/>
      <c r="AJ233" s="158"/>
      <c r="AK233" s="158"/>
      <c r="AL233" s="158"/>
      <c r="AM233" s="158"/>
      <c r="AN233" s="158"/>
      <c r="AO233" s="158"/>
      <c r="AP233" s="158"/>
      <c r="AQ233" s="158"/>
    </row>
    <row r="234" spans="1:43" s="347" customFormat="1" x14ac:dyDescent="0.35">
      <c r="A234" s="346"/>
      <c r="B234" s="213"/>
      <c r="C234" s="342" t="s">
        <v>455</v>
      </c>
      <c r="P234" s="158"/>
      <c r="Q234" s="158"/>
      <c r="R234" s="158"/>
      <c r="S234" s="158"/>
      <c r="T234" s="158"/>
      <c r="U234" s="158"/>
      <c r="V234" s="158"/>
      <c r="W234" s="158"/>
      <c r="X234" s="158"/>
      <c r="Y234" s="158"/>
      <c r="Z234" s="158"/>
      <c r="AA234" s="158"/>
      <c r="AB234" s="158"/>
      <c r="AC234" s="158"/>
      <c r="AD234" s="158"/>
      <c r="AE234" s="158"/>
      <c r="AF234" s="158"/>
      <c r="AG234" s="158"/>
      <c r="AH234" s="158"/>
      <c r="AI234" s="158"/>
      <c r="AJ234" s="158"/>
      <c r="AK234" s="158"/>
      <c r="AL234" s="158"/>
      <c r="AM234" s="158"/>
      <c r="AN234" s="158"/>
      <c r="AO234" s="158"/>
      <c r="AP234" s="158"/>
      <c r="AQ234" s="158"/>
    </row>
    <row r="235" spans="1:43" s="347" customFormat="1" x14ac:dyDescent="0.35">
      <c r="A235" s="346"/>
      <c r="B235" s="346"/>
      <c r="C235" s="827" t="s">
        <v>362</v>
      </c>
      <c r="D235" s="828"/>
      <c r="E235" s="828"/>
      <c r="F235" s="828"/>
      <c r="G235" s="828"/>
      <c r="H235" s="828"/>
      <c r="I235" s="828"/>
      <c r="J235" s="828"/>
      <c r="K235" s="829"/>
      <c r="L235" s="831" t="s">
        <v>369</v>
      </c>
      <c r="M235" s="832"/>
      <c r="N235" s="833"/>
      <c r="O235" s="827" t="s">
        <v>363</v>
      </c>
      <c r="P235" s="828"/>
      <c r="Q235" s="828"/>
      <c r="R235" s="828"/>
      <c r="S235" s="829"/>
      <c r="T235" s="827" t="s">
        <v>365</v>
      </c>
      <c r="U235" s="828"/>
      <c r="V235" s="828"/>
      <c r="W235" s="828"/>
      <c r="X235" s="829"/>
      <c r="AK235" s="37"/>
      <c r="AL235" s="37"/>
      <c r="AM235" s="37"/>
      <c r="AN235" s="37"/>
      <c r="AO235" s="37"/>
    </row>
    <row r="236" spans="1:43" s="347" customFormat="1" x14ac:dyDescent="0.35">
      <c r="A236" s="346"/>
      <c r="B236" s="346"/>
      <c r="C236" s="757"/>
      <c r="D236" s="758"/>
      <c r="E236" s="758"/>
      <c r="F236" s="758"/>
      <c r="G236" s="758"/>
      <c r="H236" s="758"/>
      <c r="I236" s="758"/>
      <c r="J236" s="758"/>
      <c r="K236" s="759"/>
      <c r="L236" s="757" t="s">
        <v>150</v>
      </c>
      <c r="M236" s="758"/>
      <c r="N236" s="759"/>
      <c r="O236" s="757" t="s">
        <v>364</v>
      </c>
      <c r="P236" s="758"/>
      <c r="Q236" s="758"/>
      <c r="R236" s="758"/>
      <c r="S236" s="759"/>
      <c r="T236" s="757" t="s">
        <v>366</v>
      </c>
      <c r="U236" s="758"/>
      <c r="V236" s="758"/>
      <c r="W236" s="758"/>
      <c r="X236" s="759"/>
      <c r="AK236" s="37"/>
      <c r="AL236" s="37"/>
      <c r="AM236" s="37"/>
      <c r="AN236" s="37"/>
      <c r="AO236" s="37"/>
    </row>
    <row r="237" spans="1:43" s="347" customFormat="1" x14ac:dyDescent="0.35">
      <c r="A237" s="346"/>
      <c r="B237" s="346"/>
      <c r="C237" s="355" t="s">
        <v>352</v>
      </c>
      <c r="D237" s="356"/>
      <c r="E237" s="356"/>
      <c r="F237" s="356"/>
      <c r="G237" s="356"/>
      <c r="H237" s="356"/>
      <c r="I237" s="356"/>
      <c r="J237" s="356"/>
      <c r="K237" s="357"/>
      <c r="L237" s="667">
        <f>((W148+W149+W150+W151+W152+W153)*J230)+((W154+W155+W156+W158+W159+W160)*J231)</f>
        <v>442.81134343023217</v>
      </c>
      <c r="M237" s="667"/>
      <c r="N237" s="667"/>
      <c r="O237" s="666">
        <f>((AF148+AF149+AF150+AF151+AF152+AF153)*J230)+((AF154+AF155+AF156+AF158+AF159+AF160)*J231)</f>
        <v>1050.5759987209285</v>
      </c>
      <c r="P237" s="666"/>
      <c r="Q237" s="666"/>
      <c r="R237" s="666"/>
      <c r="S237" s="666"/>
      <c r="T237" s="666">
        <f>(AF144*J231)+(AF146*J232)</f>
        <v>128.6912361953969</v>
      </c>
      <c r="U237" s="666"/>
      <c r="V237" s="666"/>
      <c r="W237" s="666"/>
      <c r="X237" s="666"/>
      <c r="Z237" s="86"/>
      <c r="AA237" s="86"/>
      <c r="AB237" s="86"/>
      <c r="AC237" s="86"/>
    </row>
    <row r="238" spans="1:43" s="347" customFormat="1" x14ac:dyDescent="0.35">
      <c r="A238" s="346"/>
      <c r="B238" s="346"/>
      <c r="C238" s="355" t="s">
        <v>406</v>
      </c>
      <c r="D238" s="356"/>
      <c r="E238" s="356"/>
      <c r="F238" s="356"/>
      <c r="G238" s="356"/>
      <c r="H238" s="356"/>
      <c r="I238" s="356"/>
      <c r="J238" s="356"/>
      <c r="K238" s="357"/>
      <c r="L238" s="667">
        <f>((W148+W149+W150+W151+W152+W153)*P230)+((W154+W155+W156+W158+W159+W160)*P231)</f>
        <v>303.50131228682142</v>
      </c>
      <c r="M238" s="667"/>
      <c r="N238" s="667"/>
      <c r="O238" s="666">
        <f>((AF148+AF149+AF150+AF151+AF152+AF153)*P230)+((AF154+AF155+AF156+AF158+AF159+AF160)*P231)</f>
        <v>712.86274914728574</v>
      </c>
      <c r="P238" s="666"/>
      <c r="Q238" s="666"/>
      <c r="R238" s="666"/>
      <c r="S238" s="666"/>
      <c r="T238" s="666">
        <f>(AF144*P231)+(AF146*P232)</f>
        <v>85.794157463597926</v>
      </c>
      <c r="U238" s="666"/>
      <c r="V238" s="666"/>
      <c r="W238" s="666"/>
      <c r="X238" s="666"/>
    </row>
    <row r="239" spans="1:43" s="347" customFormat="1" x14ac:dyDescent="0.35">
      <c r="A239" s="346"/>
      <c r="B239" s="346"/>
      <c r="C239" s="355" t="s">
        <v>407</v>
      </c>
      <c r="D239" s="356"/>
      <c r="E239" s="356"/>
      <c r="F239" s="356"/>
      <c r="G239" s="356"/>
      <c r="H239" s="356"/>
      <c r="I239" s="356"/>
      <c r="J239" s="356"/>
      <c r="K239" s="357"/>
      <c r="L239" s="667">
        <f>((W148+W149+W150+W151+W152+W153)*V230)+((W154+W155+W156+W158+W159+W160)*V231)</f>
        <v>303.50131228682142</v>
      </c>
      <c r="M239" s="667"/>
      <c r="N239" s="667"/>
      <c r="O239" s="666">
        <f>((AF148+AF149+AF150+AF151+AF152+AF153)*V230)+((AF154+AF155+AF156+AF158+AF159+AF160)*V231)</f>
        <v>712.86274914728574</v>
      </c>
      <c r="P239" s="666"/>
      <c r="Q239" s="666"/>
      <c r="R239" s="666"/>
      <c r="S239" s="666"/>
      <c r="T239" s="666">
        <f>(AF144*V231)+(AF146*V232)</f>
        <v>75.069887780648187</v>
      </c>
      <c r="U239" s="666"/>
      <c r="V239" s="666"/>
      <c r="W239" s="666"/>
      <c r="X239" s="666"/>
    </row>
    <row r="240" spans="1:43" s="347" customFormat="1" x14ac:dyDescent="0.35">
      <c r="A240" s="346"/>
      <c r="B240" s="346"/>
      <c r="C240" s="350"/>
    </row>
    <row r="241" spans="1:43" s="347" customFormat="1" x14ac:dyDescent="0.35">
      <c r="A241" s="346"/>
      <c r="B241" s="346"/>
      <c r="C241" s="346"/>
    </row>
    <row r="242" spans="1:43" s="528" customFormat="1" x14ac:dyDescent="0.35">
      <c r="A242" s="526"/>
      <c r="B242" s="526"/>
      <c r="C242" s="526"/>
    </row>
    <row r="243" spans="1:43" s="528" customFormat="1" x14ac:dyDescent="0.35">
      <c r="A243" s="526"/>
      <c r="B243" s="526"/>
      <c r="C243" s="526"/>
    </row>
    <row r="244" spans="1:43" s="528" customFormat="1" x14ac:dyDescent="0.35">
      <c r="A244" s="526"/>
      <c r="B244" s="526"/>
      <c r="C244" s="526"/>
    </row>
    <row r="245" spans="1:43" s="347" customFormat="1" x14ac:dyDescent="0.35">
      <c r="A245" s="346"/>
      <c r="B245" s="346"/>
      <c r="C245" s="361" t="s">
        <v>378</v>
      </c>
    </row>
    <row r="246" spans="1:43" s="347" customFormat="1" x14ac:dyDescent="0.35">
      <c r="A246" s="346"/>
      <c r="B246" s="346"/>
      <c r="C246" s="342" t="s">
        <v>456</v>
      </c>
      <c r="S246" s="86"/>
      <c r="T246" s="86"/>
      <c r="U246" s="169"/>
    </row>
    <row r="247" spans="1:43" s="347" customFormat="1" x14ac:dyDescent="0.35">
      <c r="A247" s="346"/>
      <c r="B247" s="346"/>
      <c r="C247" s="668" t="s">
        <v>179</v>
      </c>
      <c r="D247" s="668"/>
      <c r="E247" s="668"/>
      <c r="F247" s="668"/>
      <c r="G247" s="668"/>
      <c r="H247" s="668"/>
      <c r="I247" s="668"/>
      <c r="J247" s="668"/>
      <c r="K247" s="668"/>
      <c r="L247" s="668"/>
      <c r="M247" s="668"/>
      <c r="N247" s="668"/>
      <c r="O247" s="668" t="s">
        <v>192</v>
      </c>
      <c r="P247" s="668"/>
      <c r="Q247" s="668"/>
      <c r="R247" s="668"/>
      <c r="S247" s="668"/>
      <c r="T247" s="668"/>
      <c r="U247" s="668"/>
      <c r="V247" s="668"/>
      <c r="W247" s="668"/>
      <c r="X247" s="668"/>
      <c r="Y247" s="668"/>
      <c r="Z247" s="668"/>
      <c r="AA247" s="668"/>
      <c r="AB247" s="668"/>
      <c r="AC247" s="668"/>
      <c r="AD247" s="668"/>
      <c r="AE247" s="668"/>
      <c r="AF247" s="668"/>
      <c r="AG247" s="668"/>
      <c r="AH247" s="668"/>
      <c r="AI247" s="668"/>
      <c r="AJ247" s="668"/>
      <c r="AK247" s="668"/>
    </row>
    <row r="248" spans="1:43" s="347" customFormat="1" x14ac:dyDescent="0.35">
      <c r="A248" s="346"/>
      <c r="B248" s="346"/>
      <c r="C248" s="668"/>
      <c r="D248" s="668"/>
      <c r="E248" s="668"/>
      <c r="F248" s="668"/>
      <c r="G248" s="668"/>
      <c r="H248" s="668"/>
      <c r="I248" s="668"/>
      <c r="J248" s="668"/>
      <c r="K248" s="668"/>
      <c r="L248" s="668"/>
      <c r="M248" s="668"/>
      <c r="N248" s="668"/>
      <c r="O248" s="668"/>
      <c r="P248" s="668"/>
      <c r="Q248" s="668"/>
      <c r="R248" s="668"/>
      <c r="S248" s="668"/>
      <c r="T248" s="668"/>
      <c r="U248" s="668"/>
      <c r="V248" s="668"/>
      <c r="W248" s="668"/>
      <c r="X248" s="668"/>
      <c r="Y248" s="668"/>
      <c r="Z248" s="668"/>
      <c r="AA248" s="668"/>
      <c r="AB248" s="668"/>
      <c r="AC248" s="668"/>
      <c r="AD248" s="668"/>
      <c r="AE248" s="668"/>
      <c r="AF248" s="668"/>
      <c r="AG248" s="668"/>
      <c r="AH248" s="668"/>
      <c r="AI248" s="668"/>
      <c r="AJ248" s="668"/>
      <c r="AK248" s="668"/>
    </row>
    <row r="249" spans="1:43" s="347" customFormat="1" x14ac:dyDescent="0.3">
      <c r="A249" s="346"/>
      <c r="B249" s="346"/>
      <c r="C249" s="155" t="s">
        <v>40</v>
      </c>
      <c r="D249" s="350"/>
      <c r="E249" s="350"/>
      <c r="F249" s="350"/>
      <c r="G249" s="350"/>
      <c r="H249" s="350"/>
      <c r="I249" s="350"/>
      <c r="J249" s="350"/>
      <c r="K249" s="350"/>
      <c r="L249" s="350"/>
      <c r="M249" s="350"/>
      <c r="N249" s="354"/>
      <c r="O249" s="821">
        <f>O237</f>
        <v>1050.5759987209285</v>
      </c>
      <c r="P249" s="822"/>
      <c r="Q249" s="822"/>
      <c r="R249" s="822"/>
      <c r="S249" s="825">
        <f>T237</f>
        <v>128.6912361953969</v>
      </c>
      <c r="T249" s="825"/>
      <c r="U249" s="825"/>
      <c r="V249" s="825"/>
      <c r="W249" s="735">
        <f>L237</f>
        <v>442.81134343023217</v>
      </c>
      <c r="X249" s="735"/>
      <c r="Y249" s="735"/>
      <c r="Z249" s="735"/>
      <c r="AA249" s="350"/>
      <c r="AB249" s="350"/>
      <c r="AC249" s="350"/>
      <c r="AD249" s="354"/>
      <c r="AE249" s="709">
        <f>(O249-S249)/W249</f>
        <v>2.0818905753049677</v>
      </c>
      <c r="AF249" s="710"/>
      <c r="AG249" s="710"/>
      <c r="AH249" s="710"/>
      <c r="AI249" s="670" t="s">
        <v>1</v>
      </c>
      <c r="AJ249" s="670"/>
      <c r="AK249" s="671"/>
    </row>
    <row r="250" spans="1:43" s="347" customFormat="1" x14ac:dyDescent="0.3">
      <c r="A250" s="346"/>
      <c r="B250" s="346"/>
      <c r="C250" s="156" t="s">
        <v>180</v>
      </c>
      <c r="D250" s="349"/>
      <c r="E250" s="349"/>
      <c r="F250" s="349"/>
      <c r="G250" s="349"/>
      <c r="H250" s="349"/>
      <c r="I250" s="349"/>
      <c r="J250" s="349"/>
      <c r="K250" s="349"/>
      <c r="L250" s="349"/>
      <c r="M250" s="349"/>
      <c r="N250" s="353"/>
      <c r="O250" s="823"/>
      <c r="P250" s="824"/>
      <c r="Q250" s="824"/>
      <c r="R250" s="824"/>
      <c r="S250" s="826"/>
      <c r="T250" s="826"/>
      <c r="U250" s="826"/>
      <c r="V250" s="826"/>
      <c r="W250" s="736"/>
      <c r="X250" s="736"/>
      <c r="Y250" s="736"/>
      <c r="Z250" s="736"/>
      <c r="AA250" s="349"/>
      <c r="AB250" s="349"/>
      <c r="AC250" s="349"/>
      <c r="AD250" s="353"/>
      <c r="AE250" s="711"/>
      <c r="AF250" s="712"/>
      <c r="AG250" s="712"/>
      <c r="AH250" s="712"/>
      <c r="AI250" s="672"/>
      <c r="AJ250" s="672"/>
      <c r="AK250" s="673"/>
    </row>
    <row r="251" spans="1:43" s="347" customFormat="1" x14ac:dyDescent="0.35">
      <c r="A251" s="346"/>
      <c r="B251" s="346"/>
      <c r="C251" s="146" t="s">
        <v>187</v>
      </c>
      <c r="D251" s="144"/>
      <c r="E251" s="144"/>
      <c r="F251" s="144"/>
      <c r="G251" s="144"/>
      <c r="H251" s="144"/>
      <c r="I251" s="356"/>
      <c r="J251" s="348"/>
      <c r="K251" s="348"/>
      <c r="L251" s="348"/>
      <c r="M251" s="348"/>
      <c r="N251" s="352"/>
      <c r="O251" s="809">
        <f>O213</f>
        <v>4</v>
      </c>
      <c r="P251" s="810"/>
      <c r="Q251" s="810"/>
      <c r="R251" s="811" t="s">
        <v>181</v>
      </c>
      <c r="S251" s="811"/>
      <c r="T251" s="348" t="s">
        <v>23</v>
      </c>
      <c r="U251" s="689">
        <f>AE249</f>
        <v>2.0818905753049677</v>
      </c>
      <c r="V251" s="689"/>
      <c r="W251" s="689"/>
      <c r="X251" s="348"/>
      <c r="Y251" s="348"/>
      <c r="Z251" s="348"/>
      <c r="AA251" s="348"/>
      <c r="AB251" s="348"/>
      <c r="AC251" s="348"/>
      <c r="AD251" s="352"/>
      <c r="AE251" s="690">
        <f>((O251/2)-U251)</f>
        <v>-8.1890575304967683E-2</v>
      </c>
      <c r="AF251" s="691"/>
      <c r="AG251" s="691"/>
      <c r="AH251" s="691"/>
      <c r="AI251" s="729" t="s">
        <v>1</v>
      </c>
      <c r="AJ251" s="729"/>
      <c r="AK251" s="755"/>
      <c r="AL251" s="125"/>
      <c r="AM251" s="346"/>
      <c r="AN251" s="346"/>
      <c r="AO251" s="346"/>
      <c r="AP251" s="346"/>
      <c r="AQ251" s="346"/>
    </row>
    <row r="252" spans="1:43" s="347" customFormat="1" x14ac:dyDescent="0.35">
      <c r="A252" s="346"/>
      <c r="B252" s="346"/>
      <c r="C252" s="675" t="s">
        <v>183</v>
      </c>
      <c r="D252" s="676"/>
      <c r="E252" s="676"/>
      <c r="F252" s="676"/>
      <c r="G252" s="676"/>
      <c r="H252" s="676"/>
      <c r="I252" s="676"/>
      <c r="J252" s="676"/>
      <c r="K252" s="350"/>
      <c r="L252" s="350"/>
      <c r="M252" s="350"/>
      <c r="N252" s="354"/>
      <c r="O252" s="737">
        <f>L237</f>
        <v>442.81134343023217</v>
      </c>
      <c r="P252" s="737"/>
      <c r="Q252" s="737"/>
      <c r="R252" s="747" t="s">
        <v>22</v>
      </c>
      <c r="S252" s="695">
        <v>1</v>
      </c>
      <c r="T252" s="695" t="s">
        <v>25</v>
      </c>
      <c r="U252" s="348">
        <v>6</v>
      </c>
      <c r="V252" s="348" t="s">
        <v>21</v>
      </c>
      <c r="W252" s="689">
        <f>AE251</f>
        <v>-8.1890575304967683E-2</v>
      </c>
      <c r="X252" s="689"/>
      <c r="Y252" s="689"/>
      <c r="Z252" s="747" t="s">
        <v>26</v>
      </c>
      <c r="AE252" s="715">
        <f>(O252/O253)*(S252+((U252*W252)/U253))</f>
        <v>97.104557483157791</v>
      </c>
      <c r="AF252" s="716"/>
      <c r="AG252" s="716"/>
      <c r="AH252" s="716"/>
      <c r="AI252" s="670" t="s">
        <v>182</v>
      </c>
      <c r="AJ252" s="670"/>
      <c r="AK252" s="671"/>
      <c r="AL252" s="125"/>
      <c r="AM252" s="376"/>
      <c r="AN252" s="376"/>
      <c r="AO252" s="376"/>
      <c r="AP252" s="376"/>
      <c r="AQ252" s="376"/>
    </row>
    <row r="253" spans="1:43" s="347" customFormat="1" ht="15" customHeight="1" x14ac:dyDescent="0.35">
      <c r="A253" s="346"/>
      <c r="B253" s="346"/>
      <c r="C253" s="677"/>
      <c r="D253" s="678"/>
      <c r="E253" s="678"/>
      <c r="F253" s="678"/>
      <c r="G253" s="678"/>
      <c r="H253" s="678"/>
      <c r="I253" s="678"/>
      <c r="J253" s="678"/>
      <c r="K253" s="349"/>
      <c r="L253" s="349"/>
      <c r="M253" s="349"/>
      <c r="N253" s="353"/>
      <c r="O253" s="669">
        <f>O251</f>
        <v>4</v>
      </c>
      <c r="P253" s="670"/>
      <c r="Q253" s="670"/>
      <c r="R253" s="747"/>
      <c r="S253" s="695"/>
      <c r="T253" s="695"/>
      <c r="U253" s="754">
        <f>O253</f>
        <v>4</v>
      </c>
      <c r="V253" s="704"/>
      <c r="W253" s="704"/>
      <c r="X253" s="704"/>
      <c r="Y253" s="174"/>
      <c r="Z253" s="747"/>
      <c r="AE253" s="717"/>
      <c r="AF253" s="708"/>
      <c r="AG253" s="708"/>
      <c r="AH253" s="708"/>
      <c r="AI253" s="672"/>
      <c r="AJ253" s="672"/>
      <c r="AK253" s="673"/>
      <c r="AL253" s="377"/>
      <c r="AM253" s="378"/>
      <c r="AN253" s="378"/>
      <c r="AO253" s="378"/>
      <c r="AP253" s="378"/>
      <c r="AQ253" s="378"/>
    </row>
    <row r="254" spans="1:43" s="347" customFormat="1" x14ac:dyDescent="0.35">
      <c r="A254" s="346"/>
      <c r="B254" s="346"/>
      <c r="C254" s="675" t="s">
        <v>184</v>
      </c>
      <c r="D254" s="676"/>
      <c r="E254" s="676"/>
      <c r="F254" s="676"/>
      <c r="G254" s="676"/>
      <c r="H254" s="676"/>
      <c r="I254" s="676"/>
      <c r="J254" s="676"/>
      <c r="K254" s="350"/>
      <c r="L254" s="350"/>
      <c r="M254" s="350"/>
      <c r="N254" s="354"/>
      <c r="O254" s="679">
        <f>O252</f>
        <v>442.81134343023217</v>
      </c>
      <c r="P254" s="669"/>
      <c r="Q254" s="669"/>
      <c r="R254" s="680" t="s">
        <v>22</v>
      </c>
      <c r="S254" s="670">
        <v>1</v>
      </c>
      <c r="T254" s="670" t="s">
        <v>23</v>
      </c>
      <c r="U254" s="348">
        <v>6</v>
      </c>
      <c r="V254" s="348" t="s">
        <v>21</v>
      </c>
      <c r="W254" s="689">
        <f>W252</f>
        <v>-8.1890575304967683E-2</v>
      </c>
      <c r="X254" s="689"/>
      <c r="Y254" s="689"/>
      <c r="Z254" s="680" t="s">
        <v>26</v>
      </c>
      <c r="AA254" s="350"/>
      <c r="AB254" s="350"/>
      <c r="AC254" s="350"/>
      <c r="AD254" s="354"/>
      <c r="AE254" s="715">
        <f>(O252/O253)*(S252-((U252*W252)/U253))</f>
        <v>124.30111423195829</v>
      </c>
      <c r="AF254" s="716"/>
      <c r="AG254" s="716"/>
      <c r="AH254" s="716"/>
      <c r="AI254" s="670" t="s">
        <v>182</v>
      </c>
      <c r="AJ254" s="670"/>
      <c r="AK254" s="671"/>
      <c r="AL254" s="125"/>
      <c r="AM254" s="376"/>
      <c r="AN254" s="376"/>
      <c r="AO254" s="376"/>
      <c r="AP254" s="376"/>
      <c r="AQ254" s="376"/>
    </row>
    <row r="255" spans="1:43" s="347" customFormat="1" ht="15.75" customHeight="1" x14ac:dyDescent="0.35">
      <c r="A255" s="346"/>
      <c r="B255" s="346"/>
      <c r="C255" s="677"/>
      <c r="D255" s="678"/>
      <c r="E255" s="678"/>
      <c r="F255" s="678"/>
      <c r="G255" s="678"/>
      <c r="H255" s="678"/>
      <c r="I255" s="678"/>
      <c r="J255" s="678"/>
      <c r="K255" s="349"/>
      <c r="L255" s="349"/>
      <c r="M255" s="349"/>
      <c r="N255" s="353"/>
      <c r="O255" s="756">
        <f>O253</f>
        <v>4</v>
      </c>
      <c r="P255" s="729"/>
      <c r="Q255" s="729"/>
      <c r="R255" s="681"/>
      <c r="S255" s="672"/>
      <c r="T255" s="672"/>
      <c r="U255" s="674">
        <f>U253</f>
        <v>4</v>
      </c>
      <c r="V255" s="672"/>
      <c r="W255" s="672"/>
      <c r="X255" s="672"/>
      <c r="Y255" s="175"/>
      <c r="Z255" s="681"/>
      <c r="AA255" s="349"/>
      <c r="AB255" s="349"/>
      <c r="AC255" s="349"/>
      <c r="AD255" s="353"/>
      <c r="AE255" s="717"/>
      <c r="AF255" s="708"/>
      <c r="AG255" s="708"/>
      <c r="AH255" s="708"/>
      <c r="AI255" s="672"/>
      <c r="AJ255" s="672"/>
      <c r="AK255" s="673"/>
      <c r="AL255" s="377"/>
      <c r="AM255" s="378"/>
      <c r="AN255" s="378"/>
      <c r="AO255" s="378"/>
      <c r="AP255" s="378"/>
      <c r="AQ255" s="378"/>
    </row>
    <row r="256" spans="1:43" s="347" customFormat="1" x14ac:dyDescent="0.35">
      <c r="A256" s="346"/>
      <c r="B256" s="346"/>
      <c r="C256" s="748" t="s">
        <v>185</v>
      </c>
      <c r="D256" s="749"/>
      <c r="E256" s="749"/>
      <c r="F256" s="749"/>
      <c r="G256" s="749"/>
      <c r="H256" s="749"/>
      <c r="I256" s="749"/>
      <c r="J256" s="749"/>
      <c r="K256" s="749"/>
      <c r="L256" s="749"/>
      <c r="M256" s="749"/>
      <c r="N256" s="750"/>
      <c r="O256" s="715">
        <f>AE252</f>
        <v>97.104557483157791</v>
      </c>
      <c r="P256" s="716"/>
      <c r="Q256" s="716"/>
      <c r="R256" s="716"/>
      <c r="S256" s="670" t="s">
        <v>23</v>
      </c>
      <c r="T256" s="689">
        <f>AE252</f>
        <v>97.104557483157791</v>
      </c>
      <c r="U256" s="689"/>
      <c r="V256" s="689"/>
      <c r="W256" s="409" t="s">
        <v>23</v>
      </c>
      <c r="X256" s="689">
        <f>AE254</f>
        <v>124.30111423195829</v>
      </c>
      <c r="Y256" s="689"/>
      <c r="Z256" s="689"/>
      <c r="AA256" s="670" t="s">
        <v>21</v>
      </c>
      <c r="AB256" s="716">
        <f>AB218</f>
        <v>0.7</v>
      </c>
      <c r="AC256" s="716"/>
      <c r="AD256" s="718"/>
      <c r="AE256" s="709">
        <f>O256-((T256-X256)/V257)*AB256</f>
        <v>101.86395491419788</v>
      </c>
      <c r="AF256" s="710"/>
      <c r="AG256" s="710"/>
      <c r="AH256" s="710"/>
      <c r="AI256" s="670" t="s">
        <v>182</v>
      </c>
      <c r="AJ256" s="670"/>
      <c r="AK256" s="671"/>
      <c r="AL256" s="125"/>
      <c r="AM256" s="346"/>
      <c r="AN256" s="346"/>
      <c r="AO256" s="346"/>
      <c r="AP256" s="346"/>
      <c r="AQ256" s="346"/>
    </row>
    <row r="257" spans="1:43" s="347" customFormat="1" x14ac:dyDescent="0.35">
      <c r="A257" s="346"/>
      <c r="B257" s="346"/>
      <c r="C257" s="751"/>
      <c r="D257" s="752"/>
      <c r="E257" s="752"/>
      <c r="F257" s="752"/>
      <c r="G257" s="752"/>
      <c r="H257" s="752"/>
      <c r="I257" s="752"/>
      <c r="J257" s="752"/>
      <c r="K257" s="752"/>
      <c r="L257" s="752"/>
      <c r="M257" s="752"/>
      <c r="N257" s="753"/>
      <c r="O257" s="717"/>
      <c r="P257" s="708"/>
      <c r="Q257" s="708"/>
      <c r="R257" s="708"/>
      <c r="S257" s="672"/>
      <c r="T257" s="349"/>
      <c r="U257" s="349"/>
      <c r="V257" s="708">
        <f>O251</f>
        <v>4</v>
      </c>
      <c r="W257" s="708"/>
      <c r="X257" s="708"/>
      <c r="Y257" s="349"/>
      <c r="Z257" s="349"/>
      <c r="AA257" s="672"/>
      <c r="AB257" s="708"/>
      <c r="AC257" s="708"/>
      <c r="AD257" s="719"/>
      <c r="AE257" s="711"/>
      <c r="AF257" s="712"/>
      <c r="AG257" s="712"/>
      <c r="AH257" s="712"/>
      <c r="AI257" s="672"/>
      <c r="AJ257" s="672"/>
      <c r="AK257" s="673"/>
      <c r="AL257" s="125"/>
      <c r="AM257" s="346"/>
      <c r="AN257" s="346"/>
      <c r="AO257" s="346"/>
      <c r="AP257" s="346"/>
      <c r="AQ257" s="346"/>
    </row>
    <row r="258" spans="1:43" s="347" customFormat="1" x14ac:dyDescent="0.35">
      <c r="A258" s="346"/>
      <c r="B258" s="346"/>
      <c r="C258" s="748" t="s">
        <v>186</v>
      </c>
      <c r="D258" s="749"/>
      <c r="E258" s="749"/>
      <c r="F258" s="749"/>
      <c r="G258" s="749"/>
      <c r="H258" s="749"/>
      <c r="I258" s="749"/>
      <c r="J258" s="749"/>
      <c r="K258" s="749"/>
      <c r="L258" s="749"/>
      <c r="M258" s="749"/>
      <c r="N258" s="750"/>
      <c r="O258" s="715">
        <f>O256</f>
        <v>97.104557483157791</v>
      </c>
      <c r="P258" s="716"/>
      <c r="Q258" s="716"/>
      <c r="R258" s="716"/>
      <c r="S258" s="670" t="s">
        <v>23</v>
      </c>
      <c r="T258" s="815">
        <f>T256</f>
        <v>97.104557483157791</v>
      </c>
      <c r="U258" s="815"/>
      <c r="V258" s="815"/>
      <c r="W258" s="409" t="s">
        <v>23</v>
      </c>
      <c r="X258" s="689">
        <f>X256</f>
        <v>124.30111423195829</v>
      </c>
      <c r="Y258" s="689"/>
      <c r="Z258" s="689"/>
      <c r="AA258" s="670" t="s">
        <v>21</v>
      </c>
      <c r="AB258" s="716">
        <f>AB220</f>
        <v>2.8</v>
      </c>
      <c r="AC258" s="716"/>
      <c r="AD258" s="718"/>
      <c r="AE258" s="709">
        <f>O258-((T258-X258)/V259)*AB258</f>
        <v>116.14214720731815</v>
      </c>
      <c r="AF258" s="710"/>
      <c r="AG258" s="710"/>
      <c r="AH258" s="710"/>
      <c r="AI258" s="670" t="s">
        <v>182</v>
      </c>
      <c r="AJ258" s="670"/>
      <c r="AK258" s="671"/>
      <c r="AQ258" s="346"/>
    </row>
    <row r="259" spans="1:43" s="347" customFormat="1" x14ac:dyDescent="0.35">
      <c r="A259" s="346"/>
      <c r="B259" s="346"/>
      <c r="C259" s="751"/>
      <c r="D259" s="752"/>
      <c r="E259" s="752"/>
      <c r="F259" s="752"/>
      <c r="G259" s="752"/>
      <c r="H259" s="752"/>
      <c r="I259" s="752"/>
      <c r="J259" s="752"/>
      <c r="K259" s="752"/>
      <c r="L259" s="752"/>
      <c r="M259" s="752"/>
      <c r="N259" s="753"/>
      <c r="O259" s="717"/>
      <c r="P259" s="708"/>
      <c r="Q259" s="708"/>
      <c r="R259" s="708"/>
      <c r="S259" s="672"/>
      <c r="T259" s="349"/>
      <c r="U259" s="349"/>
      <c r="V259" s="674">
        <f>V257</f>
        <v>4</v>
      </c>
      <c r="W259" s="672"/>
      <c r="X259" s="672"/>
      <c r="Y259" s="349"/>
      <c r="Z259" s="349"/>
      <c r="AA259" s="672"/>
      <c r="AB259" s="708"/>
      <c r="AC259" s="708"/>
      <c r="AD259" s="719"/>
      <c r="AE259" s="711"/>
      <c r="AF259" s="712"/>
      <c r="AG259" s="712"/>
      <c r="AH259" s="712"/>
      <c r="AI259" s="672"/>
      <c r="AJ259" s="672"/>
      <c r="AK259" s="673"/>
      <c r="AQ259" s="346"/>
    </row>
    <row r="260" spans="1:43" s="347" customFormat="1" x14ac:dyDescent="0.35">
      <c r="A260" s="346"/>
      <c r="B260" s="346"/>
      <c r="C260" s="346"/>
      <c r="P260" s="351"/>
      <c r="Q260" s="351"/>
      <c r="R260" s="351"/>
      <c r="AQ260" s="346"/>
    </row>
    <row r="261" spans="1:43" s="347" customFormat="1" x14ac:dyDescent="0.35">
      <c r="A261" s="346"/>
      <c r="B261" s="346"/>
      <c r="C261" s="361" t="s">
        <v>401</v>
      </c>
      <c r="P261" s="351"/>
      <c r="Q261" s="351"/>
      <c r="R261" s="351"/>
    </row>
    <row r="262" spans="1:43" s="347" customFormat="1" x14ac:dyDescent="0.35">
      <c r="A262" s="346"/>
      <c r="B262" s="346"/>
      <c r="C262" s="342" t="s">
        <v>457</v>
      </c>
      <c r="S262" s="86"/>
      <c r="T262" s="86"/>
      <c r="U262" s="169"/>
    </row>
    <row r="263" spans="1:43" s="347" customFormat="1" x14ac:dyDescent="0.35">
      <c r="A263" s="346"/>
      <c r="B263" s="346"/>
      <c r="C263" s="668" t="s">
        <v>179</v>
      </c>
      <c r="D263" s="668"/>
      <c r="E263" s="668"/>
      <c r="F263" s="668"/>
      <c r="G263" s="668"/>
      <c r="H263" s="668"/>
      <c r="I263" s="668"/>
      <c r="J263" s="668"/>
      <c r="K263" s="668"/>
      <c r="L263" s="668"/>
      <c r="M263" s="668"/>
      <c r="N263" s="668"/>
      <c r="O263" s="668" t="s">
        <v>192</v>
      </c>
      <c r="P263" s="668"/>
      <c r="Q263" s="668"/>
      <c r="R263" s="668"/>
      <c r="S263" s="668"/>
      <c r="T263" s="668"/>
      <c r="U263" s="668"/>
      <c r="V263" s="668"/>
      <c r="W263" s="668"/>
      <c r="X263" s="668"/>
      <c r="Y263" s="668"/>
      <c r="Z263" s="668"/>
      <c r="AA263" s="668"/>
      <c r="AB263" s="668"/>
      <c r="AC263" s="668"/>
      <c r="AD263" s="668"/>
      <c r="AE263" s="668"/>
      <c r="AF263" s="668"/>
      <c r="AG263" s="668"/>
      <c r="AH263" s="668"/>
      <c r="AI263" s="668"/>
      <c r="AJ263" s="668"/>
      <c r="AK263" s="668"/>
    </row>
    <row r="264" spans="1:43" s="347" customFormat="1" x14ac:dyDescent="0.35">
      <c r="A264" s="346"/>
      <c r="B264" s="346"/>
      <c r="C264" s="668"/>
      <c r="D264" s="668"/>
      <c r="E264" s="668"/>
      <c r="F264" s="668"/>
      <c r="G264" s="668"/>
      <c r="H264" s="668"/>
      <c r="I264" s="668"/>
      <c r="J264" s="668"/>
      <c r="K264" s="668"/>
      <c r="L264" s="668"/>
      <c r="M264" s="668"/>
      <c r="N264" s="668"/>
      <c r="O264" s="668"/>
      <c r="P264" s="668"/>
      <c r="Q264" s="668"/>
      <c r="R264" s="668"/>
      <c r="S264" s="668"/>
      <c r="T264" s="668"/>
      <c r="U264" s="668"/>
      <c r="V264" s="668"/>
      <c r="W264" s="668"/>
      <c r="X264" s="668"/>
      <c r="Y264" s="668"/>
      <c r="Z264" s="668"/>
      <c r="AA264" s="668"/>
      <c r="AB264" s="668"/>
      <c r="AC264" s="668"/>
      <c r="AD264" s="668"/>
      <c r="AE264" s="668"/>
      <c r="AF264" s="668"/>
      <c r="AG264" s="668"/>
      <c r="AH264" s="668"/>
      <c r="AI264" s="668"/>
      <c r="AJ264" s="668"/>
      <c r="AK264" s="668"/>
    </row>
    <row r="265" spans="1:43" s="347" customFormat="1" x14ac:dyDescent="0.3">
      <c r="A265" s="346"/>
      <c r="B265" s="346"/>
      <c r="C265" s="155" t="s">
        <v>40</v>
      </c>
      <c r="D265" s="350"/>
      <c r="E265" s="350"/>
      <c r="F265" s="350"/>
      <c r="G265" s="350"/>
      <c r="H265" s="350"/>
      <c r="I265" s="350"/>
      <c r="J265" s="350"/>
      <c r="K265" s="350"/>
      <c r="L265" s="350"/>
      <c r="M265" s="350"/>
      <c r="N265" s="354"/>
      <c r="O265" s="821">
        <f>O238</f>
        <v>712.86274914728574</v>
      </c>
      <c r="P265" s="822"/>
      <c r="Q265" s="822"/>
      <c r="R265" s="822"/>
      <c r="S265" s="825">
        <f>T238</f>
        <v>85.794157463597926</v>
      </c>
      <c r="T265" s="825"/>
      <c r="U265" s="825"/>
      <c r="V265" s="825"/>
      <c r="W265" s="735">
        <f>L238</f>
        <v>303.50131228682142</v>
      </c>
      <c r="X265" s="735"/>
      <c r="Y265" s="735"/>
      <c r="Z265" s="735"/>
      <c r="AA265" s="350"/>
      <c r="AB265" s="350"/>
      <c r="AC265" s="350"/>
      <c r="AD265" s="354"/>
      <c r="AE265" s="709">
        <f>(O265-S265)/W265</f>
        <v>2.0661149270125128</v>
      </c>
      <c r="AF265" s="710"/>
      <c r="AG265" s="710"/>
      <c r="AH265" s="710"/>
      <c r="AI265" s="670" t="s">
        <v>1</v>
      </c>
      <c r="AJ265" s="670"/>
      <c r="AK265" s="671"/>
    </row>
    <row r="266" spans="1:43" s="347" customFormat="1" x14ac:dyDescent="0.3">
      <c r="A266" s="346"/>
      <c r="B266" s="346"/>
      <c r="C266" s="156" t="s">
        <v>180</v>
      </c>
      <c r="D266" s="349"/>
      <c r="E266" s="349"/>
      <c r="F266" s="349"/>
      <c r="G266" s="349"/>
      <c r="H266" s="349"/>
      <c r="I266" s="349"/>
      <c r="J266" s="349"/>
      <c r="K266" s="349"/>
      <c r="L266" s="349"/>
      <c r="M266" s="349"/>
      <c r="N266" s="353"/>
      <c r="O266" s="823"/>
      <c r="P266" s="824"/>
      <c r="Q266" s="824"/>
      <c r="R266" s="824"/>
      <c r="S266" s="826"/>
      <c r="T266" s="826"/>
      <c r="U266" s="826"/>
      <c r="V266" s="826"/>
      <c r="W266" s="736"/>
      <c r="X266" s="736"/>
      <c r="Y266" s="736"/>
      <c r="Z266" s="736"/>
      <c r="AA266" s="349"/>
      <c r="AB266" s="349"/>
      <c r="AC266" s="349"/>
      <c r="AD266" s="353"/>
      <c r="AE266" s="711"/>
      <c r="AF266" s="712"/>
      <c r="AG266" s="712"/>
      <c r="AH266" s="712"/>
      <c r="AI266" s="672"/>
      <c r="AJ266" s="672"/>
      <c r="AK266" s="673"/>
    </row>
    <row r="267" spans="1:43" s="347" customFormat="1" x14ac:dyDescent="0.35">
      <c r="A267" s="346"/>
      <c r="B267" s="346"/>
      <c r="C267" s="146" t="s">
        <v>187</v>
      </c>
      <c r="D267" s="144"/>
      <c r="E267" s="144"/>
      <c r="F267" s="144"/>
      <c r="G267" s="144"/>
      <c r="H267" s="144"/>
      <c r="I267" s="356"/>
      <c r="J267" s="348"/>
      <c r="K267" s="348"/>
      <c r="L267" s="348"/>
      <c r="M267" s="348"/>
      <c r="N267" s="352"/>
      <c r="O267" s="809">
        <f>O251</f>
        <v>4</v>
      </c>
      <c r="P267" s="810"/>
      <c r="Q267" s="810"/>
      <c r="R267" s="811" t="s">
        <v>181</v>
      </c>
      <c r="S267" s="811"/>
      <c r="T267" s="348" t="s">
        <v>23</v>
      </c>
      <c r="U267" s="689">
        <f>AE265</f>
        <v>2.0661149270125128</v>
      </c>
      <c r="V267" s="689"/>
      <c r="W267" s="689"/>
      <c r="X267" s="348"/>
      <c r="Y267" s="348"/>
      <c r="Z267" s="348"/>
      <c r="AA267" s="348"/>
      <c r="AB267" s="348"/>
      <c r="AC267" s="348"/>
      <c r="AD267" s="352"/>
      <c r="AE267" s="690">
        <f>((O267/2)-U267)</f>
        <v>-6.6114927012512759E-2</v>
      </c>
      <c r="AF267" s="691"/>
      <c r="AG267" s="691"/>
      <c r="AH267" s="691"/>
      <c r="AI267" s="729" t="s">
        <v>1</v>
      </c>
      <c r="AJ267" s="729"/>
      <c r="AK267" s="755"/>
    </row>
    <row r="268" spans="1:43" s="347" customFormat="1" x14ac:dyDescent="0.35">
      <c r="A268" s="346"/>
      <c r="B268" s="346"/>
      <c r="C268" s="675" t="s">
        <v>183</v>
      </c>
      <c r="D268" s="676"/>
      <c r="E268" s="676"/>
      <c r="F268" s="676"/>
      <c r="G268" s="676"/>
      <c r="H268" s="676"/>
      <c r="I268" s="676"/>
      <c r="J268" s="676"/>
      <c r="K268" s="350"/>
      <c r="L268" s="350"/>
      <c r="M268" s="350"/>
      <c r="N268" s="354"/>
      <c r="O268" s="737">
        <f>L238</f>
        <v>303.50131228682142</v>
      </c>
      <c r="P268" s="737"/>
      <c r="Q268" s="737"/>
      <c r="R268" s="747" t="s">
        <v>22</v>
      </c>
      <c r="S268" s="695">
        <v>1</v>
      </c>
      <c r="T268" s="695" t="s">
        <v>25</v>
      </c>
      <c r="U268" s="348">
        <v>6</v>
      </c>
      <c r="V268" s="348" t="s">
        <v>21</v>
      </c>
      <c r="W268" s="689">
        <f>AE267</f>
        <v>-6.6114927012512759E-2</v>
      </c>
      <c r="X268" s="689"/>
      <c r="Y268" s="689"/>
      <c r="Z268" s="747" t="s">
        <v>26</v>
      </c>
      <c r="AE268" s="715">
        <f>(O268/O269)*(S268+((U268*W268)/U269))</f>
        <v>68.350590405438467</v>
      </c>
      <c r="AF268" s="716"/>
      <c r="AG268" s="716"/>
      <c r="AH268" s="716"/>
      <c r="AI268" s="670" t="s">
        <v>182</v>
      </c>
      <c r="AJ268" s="670"/>
      <c r="AK268" s="671"/>
      <c r="AL268" s="125"/>
      <c r="AM268" s="376"/>
      <c r="AN268" s="376"/>
      <c r="AO268" s="376"/>
      <c r="AP268" s="376"/>
      <c r="AQ268" s="376"/>
    </row>
    <row r="269" spans="1:43" s="347" customFormat="1" ht="14.25" customHeight="1" x14ac:dyDescent="0.35">
      <c r="A269" s="346"/>
      <c r="B269" s="346"/>
      <c r="C269" s="677"/>
      <c r="D269" s="678"/>
      <c r="E269" s="678"/>
      <c r="F269" s="678"/>
      <c r="G269" s="678"/>
      <c r="H269" s="678"/>
      <c r="I269" s="678"/>
      <c r="J269" s="678"/>
      <c r="K269" s="349"/>
      <c r="L269" s="349"/>
      <c r="M269" s="349"/>
      <c r="N269" s="353"/>
      <c r="O269" s="669">
        <f>O253</f>
        <v>4</v>
      </c>
      <c r="P269" s="670"/>
      <c r="Q269" s="670"/>
      <c r="R269" s="747"/>
      <c r="S269" s="695"/>
      <c r="T269" s="695"/>
      <c r="U269" s="754">
        <f>O269</f>
        <v>4</v>
      </c>
      <c r="V269" s="704"/>
      <c r="W269" s="704"/>
      <c r="X269" s="704"/>
      <c r="Y269" s="174"/>
      <c r="Z269" s="747"/>
      <c r="AE269" s="717"/>
      <c r="AF269" s="708"/>
      <c r="AG269" s="708"/>
      <c r="AH269" s="708"/>
      <c r="AI269" s="672"/>
      <c r="AJ269" s="672"/>
      <c r="AK269" s="673"/>
      <c r="AL269" s="377"/>
      <c r="AM269" s="378"/>
      <c r="AN269" s="378"/>
      <c r="AO269" s="378"/>
      <c r="AP269" s="378"/>
      <c r="AQ269" s="378"/>
    </row>
    <row r="270" spans="1:43" s="347" customFormat="1" x14ac:dyDescent="0.35">
      <c r="A270" s="346"/>
      <c r="B270" s="346"/>
      <c r="C270" s="675" t="s">
        <v>184</v>
      </c>
      <c r="D270" s="676"/>
      <c r="E270" s="676"/>
      <c r="F270" s="676"/>
      <c r="G270" s="676"/>
      <c r="H270" s="676"/>
      <c r="I270" s="676"/>
      <c r="J270" s="676"/>
      <c r="K270" s="350"/>
      <c r="L270" s="350"/>
      <c r="M270" s="350"/>
      <c r="N270" s="354"/>
      <c r="O270" s="679">
        <f>O268</f>
        <v>303.50131228682142</v>
      </c>
      <c r="P270" s="669"/>
      <c r="Q270" s="669"/>
      <c r="R270" s="680" t="s">
        <v>22</v>
      </c>
      <c r="S270" s="670">
        <v>1</v>
      </c>
      <c r="T270" s="670" t="s">
        <v>23</v>
      </c>
      <c r="U270" s="348">
        <v>6</v>
      </c>
      <c r="V270" s="348" t="s">
        <v>21</v>
      </c>
      <c r="W270" s="689">
        <f>W268</f>
        <v>-6.6114927012512759E-2</v>
      </c>
      <c r="X270" s="689"/>
      <c r="Y270" s="689"/>
      <c r="Z270" s="680" t="s">
        <v>26</v>
      </c>
      <c r="AA270" s="350"/>
      <c r="AB270" s="350"/>
      <c r="AC270" s="350"/>
      <c r="AD270" s="354"/>
      <c r="AE270" s="715">
        <f>(O268/O269)*(S268-((U268*W268)/U269))</f>
        <v>83.400065737972241</v>
      </c>
      <c r="AF270" s="716"/>
      <c r="AG270" s="716"/>
      <c r="AH270" s="716"/>
      <c r="AI270" s="670" t="s">
        <v>182</v>
      </c>
      <c r="AJ270" s="670"/>
      <c r="AK270" s="671"/>
      <c r="AL270" s="125"/>
      <c r="AM270" s="376"/>
      <c r="AN270" s="376"/>
      <c r="AO270" s="376"/>
      <c r="AP270" s="376"/>
      <c r="AQ270" s="376"/>
    </row>
    <row r="271" spans="1:43" s="347" customFormat="1" ht="12.75" customHeight="1" x14ac:dyDescent="0.35">
      <c r="A271" s="346"/>
      <c r="B271" s="346"/>
      <c r="C271" s="677"/>
      <c r="D271" s="678"/>
      <c r="E271" s="678"/>
      <c r="F271" s="678"/>
      <c r="G271" s="678"/>
      <c r="H271" s="678"/>
      <c r="I271" s="678"/>
      <c r="J271" s="678"/>
      <c r="K271" s="349"/>
      <c r="L271" s="349"/>
      <c r="M271" s="349"/>
      <c r="N271" s="353"/>
      <c r="O271" s="756">
        <f>O269</f>
        <v>4</v>
      </c>
      <c r="P271" s="729"/>
      <c r="Q271" s="729"/>
      <c r="R271" s="681"/>
      <c r="S271" s="672"/>
      <c r="T271" s="672"/>
      <c r="U271" s="674">
        <f>U269</f>
        <v>4</v>
      </c>
      <c r="V271" s="672"/>
      <c r="W271" s="672"/>
      <c r="X271" s="672"/>
      <c r="Y271" s="175"/>
      <c r="Z271" s="681"/>
      <c r="AA271" s="349"/>
      <c r="AB271" s="349"/>
      <c r="AC271" s="349"/>
      <c r="AD271" s="353"/>
      <c r="AE271" s="717"/>
      <c r="AF271" s="708"/>
      <c r="AG271" s="708"/>
      <c r="AH271" s="708"/>
      <c r="AI271" s="672"/>
      <c r="AJ271" s="672"/>
      <c r="AK271" s="673"/>
      <c r="AL271" s="377"/>
      <c r="AM271" s="378"/>
      <c r="AN271" s="378"/>
      <c r="AO271" s="378"/>
      <c r="AP271" s="378"/>
      <c r="AQ271" s="378"/>
    </row>
    <row r="272" spans="1:43" s="347" customFormat="1" x14ac:dyDescent="0.35">
      <c r="A272" s="346"/>
      <c r="B272" s="346"/>
      <c r="C272" s="748" t="s">
        <v>185</v>
      </c>
      <c r="D272" s="749"/>
      <c r="E272" s="749"/>
      <c r="F272" s="749"/>
      <c r="G272" s="749"/>
      <c r="H272" s="749"/>
      <c r="I272" s="749"/>
      <c r="J272" s="749"/>
      <c r="K272" s="749"/>
      <c r="L272" s="749"/>
      <c r="M272" s="749"/>
      <c r="N272" s="750"/>
      <c r="O272" s="715">
        <f>AE268</f>
        <v>68.350590405438467</v>
      </c>
      <c r="P272" s="716"/>
      <c r="Q272" s="716"/>
      <c r="R272" s="716"/>
      <c r="S272" s="670" t="s">
        <v>23</v>
      </c>
      <c r="T272" s="689">
        <f>AE268</f>
        <v>68.350590405438467</v>
      </c>
      <c r="U272" s="689"/>
      <c r="V272" s="689"/>
      <c r="W272" s="409" t="s">
        <v>23</v>
      </c>
      <c r="X272" s="689">
        <f>AE270</f>
        <v>83.400065737972241</v>
      </c>
      <c r="Y272" s="689"/>
      <c r="Z272" s="689"/>
      <c r="AA272" s="670" t="s">
        <v>21</v>
      </c>
      <c r="AB272" s="716">
        <f>AB256</f>
        <v>0.7</v>
      </c>
      <c r="AC272" s="716"/>
      <c r="AD272" s="718"/>
      <c r="AE272" s="709">
        <f>O272-((T272-X272)/V273)*AB272</f>
        <v>70.984248588631871</v>
      </c>
      <c r="AF272" s="710"/>
      <c r="AG272" s="710"/>
      <c r="AH272" s="710"/>
      <c r="AI272" s="670" t="s">
        <v>182</v>
      </c>
      <c r="AJ272" s="670"/>
      <c r="AK272" s="671"/>
    </row>
    <row r="273" spans="1:37" s="347" customFormat="1" x14ac:dyDescent="0.35">
      <c r="A273" s="346"/>
      <c r="B273" s="346"/>
      <c r="C273" s="751"/>
      <c r="D273" s="752"/>
      <c r="E273" s="752"/>
      <c r="F273" s="752"/>
      <c r="G273" s="752"/>
      <c r="H273" s="752"/>
      <c r="I273" s="752"/>
      <c r="J273" s="752"/>
      <c r="K273" s="752"/>
      <c r="L273" s="752"/>
      <c r="M273" s="752"/>
      <c r="N273" s="753"/>
      <c r="O273" s="717"/>
      <c r="P273" s="708"/>
      <c r="Q273" s="708"/>
      <c r="R273" s="708"/>
      <c r="S273" s="672"/>
      <c r="T273" s="349"/>
      <c r="U273" s="349"/>
      <c r="V273" s="708">
        <f>O267</f>
        <v>4</v>
      </c>
      <c r="W273" s="708"/>
      <c r="X273" s="708"/>
      <c r="Y273" s="349"/>
      <c r="Z273" s="349"/>
      <c r="AA273" s="672"/>
      <c r="AB273" s="708"/>
      <c r="AC273" s="708"/>
      <c r="AD273" s="719"/>
      <c r="AE273" s="711"/>
      <c r="AF273" s="712"/>
      <c r="AG273" s="712"/>
      <c r="AH273" s="712"/>
      <c r="AI273" s="672"/>
      <c r="AJ273" s="672"/>
      <c r="AK273" s="673"/>
    </row>
    <row r="274" spans="1:37" s="347" customFormat="1" x14ac:dyDescent="0.35">
      <c r="A274" s="346"/>
      <c r="B274" s="346"/>
      <c r="C274" s="748" t="s">
        <v>186</v>
      </c>
      <c r="D274" s="749"/>
      <c r="E274" s="749"/>
      <c r="F274" s="749"/>
      <c r="G274" s="749"/>
      <c r="H274" s="749"/>
      <c r="I274" s="749"/>
      <c r="J274" s="749"/>
      <c r="K274" s="749"/>
      <c r="L274" s="749"/>
      <c r="M274" s="749"/>
      <c r="N274" s="750"/>
      <c r="O274" s="715">
        <f>O272</f>
        <v>68.350590405438467</v>
      </c>
      <c r="P274" s="716"/>
      <c r="Q274" s="716"/>
      <c r="R274" s="716"/>
      <c r="S274" s="670" t="s">
        <v>23</v>
      </c>
      <c r="T274" s="815">
        <f>T272</f>
        <v>68.350590405438467</v>
      </c>
      <c r="U274" s="815"/>
      <c r="V274" s="815"/>
      <c r="W274" s="409" t="s">
        <v>23</v>
      </c>
      <c r="X274" s="689">
        <f>X272</f>
        <v>83.400065737972241</v>
      </c>
      <c r="Y274" s="689"/>
      <c r="Z274" s="689"/>
      <c r="AA274" s="670" t="s">
        <v>21</v>
      </c>
      <c r="AB274" s="716">
        <f>AB258</f>
        <v>2.8</v>
      </c>
      <c r="AC274" s="716"/>
      <c r="AD274" s="718"/>
      <c r="AE274" s="709">
        <f>O274-((T274-X274)/V275)*AB274</f>
        <v>78.885223138212112</v>
      </c>
      <c r="AF274" s="710"/>
      <c r="AG274" s="710"/>
      <c r="AH274" s="710"/>
      <c r="AI274" s="670" t="s">
        <v>182</v>
      </c>
      <c r="AJ274" s="670"/>
      <c r="AK274" s="671"/>
    </row>
    <row r="275" spans="1:37" s="347" customFormat="1" x14ac:dyDescent="0.35">
      <c r="A275" s="346"/>
      <c r="B275" s="346"/>
      <c r="C275" s="751"/>
      <c r="D275" s="752"/>
      <c r="E275" s="752"/>
      <c r="F275" s="752"/>
      <c r="G275" s="752"/>
      <c r="H275" s="752"/>
      <c r="I275" s="752"/>
      <c r="J275" s="752"/>
      <c r="K275" s="752"/>
      <c r="L275" s="752"/>
      <c r="M275" s="752"/>
      <c r="N275" s="753"/>
      <c r="O275" s="717"/>
      <c r="P275" s="708"/>
      <c r="Q275" s="708"/>
      <c r="R275" s="708"/>
      <c r="S275" s="672"/>
      <c r="T275" s="349"/>
      <c r="U275" s="349"/>
      <c r="V275" s="674">
        <f>V273</f>
        <v>4</v>
      </c>
      <c r="W275" s="672"/>
      <c r="X275" s="672"/>
      <c r="Y275" s="349"/>
      <c r="Z275" s="349"/>
      <c r="AA275" s="672"/>
      <c r="AB275" s="708"/>
      <c r="AC275" s="708"/>
      <c r="AD275" s="719"/>
      <c r="AE275" s="711"/>
      <c r="AF275" s="712"/>
      <c r="AG275" s="712"/>
      <c r="AH275" s="712"/>
      <c r="AI275" s="672"/>
      <c r="AJ275" s="672"/>
      <c r="AK275" s="673"/>
    </row>
    <row r="276" spans="1:37" s="347" customFormat="1" x14ac:dyDescent="0.35">
      <c r="A276" s="346"/>
      <c r="B276" s="346"/>
      <c r="C276" s="346"/>
      <c r="P276" s="351"/>
      <c r="Q276" s="351"/>
      <c r="R276" s="351"/>
    </row>
    <row r="277" spans="1:37" s="347" customFormat="1" x14ac:dyDescent="0.35">
      <c r="A277" s="346"/>
      <c r="B277" s="346"/>
      <c r="C277" s="361" t="s">
        <v>402</v>
      </c>
      <c r="D277" s="372"/>
      <c r="E277" s="372"/>
      <c r="F277" s="372"/>
      <c r="G277" s="372"/>
      <c r="H277" s="372"/>
      <c r="I277" s="372"/>
      <c r="J277" s="372"/>
      <c r="K277" s="372"/>
      <c r="L277" s="372"/>
      <c r="M277" s="372"/>
      <c r="N277" s="372"/>
      <c r="O277" s="372"/>
      <c r="P277" s="374"/>
      <c r="Q277" s="374"/>
      <c r="R277" s="374"/>
      <c r="S277" s="372"/>
      <c r="T277" s="372"/>
      <c r="U277" s="372"/>
      <c r="V277" s="372"/>
      <c r="W277" s="372"/>
      <c r="X277" s="372"/>
      <c r="Y277" s="372"/>
      <c r="Z277" s="372"/>
      <c r="AA277" s="372"/>
      <c r="AB277" s="372"/>
      <c r="AC277" s="372"/>
      <c r="AD277" s="372"/>
      <c r="AE277" s="372"/>
      <c r="AF277" s="372"/>
      <c r="AG277" s="372"/>
      <c r="AH277" s="372"/>
      <c r="AI277" s="372"/>
      <c r="AJ277" s="372"/>
      <c r="AK277" s="372"/>
    </row>
    <row r="278" spans="1:37" s="347" customFormat="1" x14ac:dyDescent="0.35">
      <c r="A278" s="346"/>
      <c r="B278" s="346"/>
      <c r="C278" s="342" t="s">
        <v>458</v>
      </c>
      <c r="D278" s="372"/>
      <c r="E278" s="372"/>
      <c r="F278" s="372"/>
      <c r="G278" s="372"/>
      <c r="H278" s="372"/>
      <c r="I278" s="372"/>
      <c r="J278" s="372"/>
      <c r="K278" s="372"/>
      <c r="L278" s="372"/>
      <c r="M278" s="372"/>
      <c r="N278" s="372"/>
      <c r="O278" s="372"/>
      <c r="P278" s="372"/>
      <c r="Q278" s="372"/>
      <c r="R278" s="372"/>
      <c r="S278" s="86"/>
      <c r="T278" s="86"/>
      <c r="U278" s="169"/>
      <c r="V278" s="372"/>
      <c r="W278" s="372"/>
      <c r="X278" s="372"/>
      <c r="Y278" s="372"/>
      <c r="Z278" s="372"/>
      <c r="AA278" s="372"/>
      <c r="AB278" s="372"/>
      <c r="AC278" s="372"/>
      <c r="AD278" s="372"/>
      <c r="AE278" s="372"/>
      <c r="AF278" s="372"/>
      <c r="AG278" s="372"/>
      <c r="AH278" s="372"/>
      <c r="AI278" s="372"/>
      <c r="AJ278" s="372"/>
      <c r="AK278" s="372"/>
    </row>
    <row r="279" spans="1:37" s="347" customFormat="1" x14ac:dyDescent="0.35">
      <c r="A279" s="346"/>
      <c r="B279" s="346"/>
      <c r="C279" s="668" t="s">
        <v>179</v>
      </c>
      <c r="D279" s="668"/>
      <c r="E279" s="668"/>
      <c r="F279" s="668"/>
      <c r="G279" s="668"/>
      <c r="H279" s="668"/>
      <c r="I279" s="668"/>
      <c r="J279" s="668"/>
      <c r="K279" s="668"/>
      <c r="L279" s="668"/>
      <c r="M279" s="668"/>
      <c r="N279" s="668"/>
      <c r="O279" s="668" t="s">
        <v>192</v>
      </c>
      <c r="P279" s="668"/>
      <c r="Q279" s="668"/>
      <c r="R279" s="668"/>
      <c r="S279" s="668"/>
      <c r="T279" s="668"/>
      <c r="U279" s="668"/>
      <c r="V279" s="668"/>
      <c r="W279" s="668"/>
      <c r="X279" s="668"/>
      <c r="Y279" s="668"/>
      <c r="Z279" s="668"/>
      <c r="AA279" s="668"/>
      <c r="AB279" s="668"/>
      <c r="AC279" s="668"/>
      <c r="AD279" s="668"/>
      <c r="AE279" s="668"/>
      <c r="AF279" s="668"/>
      <c r="AG279" s="668"/>
      <c r="AH279" s="668"/>
      <c r="AI279" s="668"/>
      <c r="AJ279" s="668"/>
      <c r="AK279" s="668"/>
    </row>
    <row r="280" spans="1:37" s="347" customFormat="1" x14ac:dyDescent="0.35">
      <c r="A280" s="346"/>
      <c r="B280" s="346"/>
      <c r="C280" s="668"/>
      <c r="D280" s="668"/>
      <c r="E280" s="668"/>
      <c r="F280" s="668"/>
      <c r="G280" s="668"/>
      <c r="H280" s="668"/>
      <c r="I280" s="668"/>
      <c r="J280" s="668"/>
      <c r="K280" s="668"/>
      <c r="L280" s="668"/>
      <c r="M280" s="668"/>
      <c r="N280" s="668"/>
      <c r="O280" s="668"/>
      <c r="P280" s="668"/>
      <c r="Q280" s="668"/>
      <c r="R280" s="668"/>
      <c r="S280" s="668"/>
      <c r="T280" s="668"/>
      <c r="U280" s="668"/>
      <c r="V280" s="668"/>
      <c r="W280" s="668"/>
      <c r="X280" s="668"/>
      <c r="Y280" s="668"/>
      <c r="Z280" s="668"/>
      <c r="AA280" s="668"/>
      <c r="AB280" s="668"/>
      <c r="AC280" s="668"/>
      <c r="AD280" s="668"/>
      <c r="AE280" s="668"/>
      <c r="AF280" s="668"/>
      <c r="AG280" s="668"/>
      <c r="AH280" s="668"/>
      <c r="AI280" s="668"/>
      <c r="AJ280" s="668"/>
      <c r="AK280" s="668"/>
    </row>
    <row r="281" spans="1:37" s="347" customFormat="1" x14ac:dyDescent="0.3">
      <c r="A281" s="346"/>
      <c r="B281" s="346"/>
      <c r="C281" s="155" t="s">
        <v>40</v>
      </c>
      <c r="D281" s="365"/>
      <c r="E281" s="365"/>
      <c r="F281" s="365"/>
      <c r="G281" s="365"/>
      <c r="H281" s="365"/>
      <c r="I281" s="365"/>
      <c r="J281" s="365"/>
      <c r="K281" s="365"/>
      <c r="L281" s="365"/>
      <c r="M281" s="365"/>
      <c r="N281" s="367"/>
      <c r="O281" s="821">
        <f>O239</f>
        <v>712.86274914728574</v>
      </c>
      <c r="P281" s="822"/>
      <c r="Q281" s="822"/>
      <c r="R281" s="822"/>
      <c r="S281" s="825">
        <f>T239</f>
        <v>75.069887780648187</v>
      </c>
      <c r="T281" s="825"/>
      <c r="U281" s="825"/>
      <c r="V281" s="825"/>
      <c r="W281" s="735">
        <f>L239</f>
        <v>303.50131228682142</v>
      </c>
      <c r="X281" s="735"/>
      <c r="Y281" s="735"/>
      <c r="Z281" s="735"/>
      <c r="AA281" s="365"/>
      <c r="AB281" s="365"/>
      <c r="AC281" s="365"/>
      <c r="AD281" s="367"/>
      <c r="AE281" s="709">
        <f>(O281-S281)/W281</f>
        <v>2.1014500944361543</v>
      </c>
      <c r="AF281" s="710"/>
      <c r="AG281" s="710"/>
      <c r="AH281" s="710"/>
      <c r="AI281" s="670" t="s">
        <v>1</v>
      </c>
      <c r="AJ281" s="670"/>
      <c r="AK281" s="671"/>
    </row>
    <row r="282" spans="1:37" s="347" customFormat="1" x14ac:dyDescent="0.3">
      <c r="A282" s="346"/>
      <c r="B282" s="346"/>
      <c r="C282" s="156" t="s">
        <v>180</v>
      </c>
      <c r="D282" s="366"/>
      <c r="E282" s="366"/>
      <c r="F282" s="366"/>
      <c r="G282" s="366"/>
      <c r="H282" s="366"/>
      <c r="I282" s="366"/>
      <c r="J282" s="366"/>
      <c r="K282" s="366"/>
      <c r="L282" s="366"/>
      <c r="M282" s="366"/>
      <c r="N282" s="368"/>
      <c r="O282" s="823"/>
      <c r="P282" s="824"/>
      <c r="Q282" s="824"/>
      <c r="R282" s="824"/>
      <c r="S282" s="826"/>
      <c r="T282" s="826"/>
      <c r="U282" s="826"/>
      <c r="V282" s="826"/>
      <c r="W282" s="736"/>
      <c r="X282" s="736"/>
      <c r="Y282" s="736"/>
      <c r="Z282" s="736"/>
      <c r="AA282" s="366"/>
      <c r="AB282" s="366"/>
      <c r="AC282" s="366"/>
      <c r="AD282" s="368"/>
      <c r="AE282" s="711"/>
      <c r="AF282" s="712"/>
      <c r="AG282" s="712"/>
      <c r="AH282" s="712"/>
      <c r="AI282" s="672"/>
      <c r="AJ282" s="672"/>
      <c r="AK282" s="673"/>
    </row>
    <row r="283" spans="1:37" s="347" customFormat="1" x14ac:dyDescent="0.35">
      <c r="A283" s="346"/>
      <c r="B283" s="346"/>
      <c r="C283" s="146" t="s">
        <v>187</v>
      </c>
      <c r="D283" s="144"/>
      <c r="E283" s="144"/>
      <c r="F283" s="144"/>
      <c r="G283" s="144"/>
      <c r="H283" s="144"/>
      <c r="I283" s="375"/>
      <c r="J283" s="370"/>
      <c r="K283" s="370"/>
      <c r="L283" s="370"/>
      <c r="M283" s="370"/>
      <c r="N283" s="371"/>
      <c r="O283" s="809">
        <f>O267</f>
        <v>4</v>
      </c>
      <c r="P283" s="810"/>
      <c r="Q283" s="810"/>
      <c r="R283" s="811" t="s">
        <v>181</v>
      </c>
      <c r="S283" s="811"/>
      <c r="T283" s="370" t="s">
        <v>23</v>
      </c>
      <c r="U283" s="689">
        <f>AE281</f>
        <v>2.1014500944361543</v>
      </c>
      <c r="V283" s="689"/>
      <c r="W283" s="689"/>
      <c r="X283" s="370"/>
      <c r="Y283" s="370"/>
      <c r="Z283" s="370"/>
      <c r="AA283" s="370"/>
      <c r="AB283" s="370"/>
      <c r="AC283" s="370"/>
      <c r="AD283" s="371"/>
      <c r="AE283" s="690">
        <f>((O283/2)-U283)</f>
        <v>-0.10145009443615427</v>
      </c>
      <c r="AF283" s="691"/>
      <c r="AG283" s="691"/>
      <c r="AH283" s="691"/>
      <c r="AI283" s="729" t="s">
        <v>1</v>
      </c>
      <c r="AJ283" s="729"/>
      <c r="AK283" s="755"/>
    </row>
    <row r="284" spans="1:37" s="347" customFormat="1" x14ac:dyDescent="0.35">
      <c r="A284" s="346"/>
      <c r="B284" s="346"/>
      <c r="C284" s="675" t="s">
        <v>183</v>
      </c>
      <c r="D284" s="676"/>
      <c r="E284" s="676"/>
      <c r="F284" s="676"/>
      <c r="G284" s="676"/>
      <c r="H284" s="676"/>
      <c r="I284" s="676"/>
      <c r="J284" s="676"/>
      <c r="K284" s="365"/>
      <c r="L284" s="365"/>
      <c r="M284" s="365"/>
      <c r="N284" s="367"/>
      <c r="O284" s="737">
        <f>L239</f>
        <v>303.50131228682142</v>
      </c>
      <c r="P284" s="737"/>
      <c r="Q284" s="737"/>
      <c r="R284" s="747" t="s">
        <v>22</v>
      </c>
      <c r="S284" s="695">
        <v>1</v>
      </c>
      <c r="T284" s="695" t="s">
        <v>25</v>
      </c>
      <c r="U284" s="370">
        <v>6</v>
      </c>
      <c r="V284" s="370" t="s">
        <v>21</v>
      </c>
      <c r="W284" s="689">
        <f>AE283</f>
        <v>-0.10145009443615427</v>
      </c>
      <c r="X284" s="689"/>
      <c r="Y284" s="689"/>
      <c r="Z284" s="747" t="s">
        <v>26</v>
      </c>
      <c r="AA284" s="372"/>
      <c r="AB284" s="372"/>
      <c r="AC284" s="372"/>
      <c r="AD284" s="372"/>
      <c r="AE284" s="715">
        <f>(O284/O285)*(S284+((U284*W284)/U285))</f>
        <v>64.328989274332315</v>
      </c>
      <c r="AF284" s="716"/>
      <c r="AG284" s="716"/>
      <c r="AH284" s="716"/>
      <c r="AI284" s="670" t="s">
        <v>182</v>
      </c>
      <c r="AJ284" s="670"/>
      <c r="AK284" s="671"/>
    </row>
    <row r="285" spans="1:37" s="347" customFormat="1" ht="13.5" customHeight="1" x14ac:dyDescent="0.35">
      <c r="A285" s="346"/>
      <c r="B285" s="346"/>
      <c r="C285" s="677"/>
      <c r="D285" s="678"/>
      <c r="E285" s="678"/>
      <c r="F285" s="678"/>
      <c r="G285" s="678"/>
      <c r="H285" s="678"/>
      <c r="I285" s="678"/>
      <c r="J285" s="678"/>
      <c r="K285" s="366"/>
      <c r="L285" s="366"/>
      <c r="M285" s="366"/>
      <c r="N285" s="368"/>
      <c r="O285" s="669">
        <f>O269</f>
        <v>4</v>
      </c>
      <c r="P285" s="670"/>
      <c r="Q285" s="670"/>
      <c r="R285" s="747"/>
      <c r="S285" s="695"/>
      <c r="T285" s="695"/>
      <c r="U285" s="754">
        <f>O285</f>
        <v>4</v>
      </c>
      <c r="V285" s="704"/>
      <c r="W285" s="704"/>
      <c r="X285" s="704"/>
      <c r="Y285" s="174"/>
      <c r="Z285" s="747"/>
      <c r="AA285" s="372"/>
      <c r="AB285" s="372"/>
      <c r="AC285" s="372"/>
      <c r="AD285" s="372"/>
      <c r="AE285" s="717"/>
      <c r="AF285" s="708"/>
      <c r="AG285" s="708"/>
      <c r="AH285" s="708"/>
      <c r="AI285" s="672"/>
      <c r="AJ285" s="672"/>
      <c r="AK285" s="673"/>
    </row>
    <row r="286" spans="1:37" s="347" customFormat="1" x14ac:dyDescent="0.35">
      <c r="A286" s="346"/>
      <c r="B286" s="346"/>
      <c r="C286" s="675" t="s">
        <v>184</v>
      </c>
      <c r="D286" s="676"/>
      <c r="E286" s="676"/>
      <c r="F286" s="676"/>
      <c r="G286" s="676"/>
      <c r="H286" s="676"/>
      <c r="I286" s="676"/>
      <c r="J286" s="676"/>
      <c r="K286" s="365"/>
      <c r="L286" s="365"/>
      <c r="M286" s="365"/>
      <c r="N286" s="367"/>
      <c r="O286" s="679">
        <f>O284</f>
        <v>303.50131228682142</v>
      </c>
      <c r="P286" s="669"/>
      <c r="Q286" s="669"/>
      <c r="R286" s="680" t="s">
        <v>22</v>
      </c>
      <c r="S286" s="670">
        <v>1</v>
      </c>
      <c r="T286" s="670" t="s">
        <v>23</v>
      </c>
      <c r="U286" s="370">
        <v>6</v>
      </c>
      <c r="V286" s="370" t="s">
        <v>21</v>
      </c>
      <c r="W286" s="689">
        <f>W284</f>
        <v>-0.10145009443615427</v>
      </c>
      <c r="X286" s="689"/>
      <c r="Y286" s="689"/>
      <c r="Z286" s="680" t="s">
        <v>26</v>
      </c>
      <c r="AA286" s="365"/>
      <c r="AB286" s="365"/>
      <c r="AC286" s="365"/>
      <c r="AD286" s="367"/>
      <c r="AE286" s="715">
        <f>(O284/O285)*(S284-((U284*W284)/U285))</f>
        <v>87.421666869078393</v>
      </c>
      <c r="AF286" s="716"/>
      <c r="AG286" s="716"/>
      <c r="AH286" s="716"/>
      <c r="AI286" s="670" t="s">
        <v>182</v>
      </c>
      <c r="AJ286" s="670"/>
      <c r="AK286" s="671"/>
    </row>
    <row r="287" spans="1:37" s="347" customFormat="1" ht="12.75" customHeight="1" x14ac:dyDescent="0.35">
      <c r="A287" s="346"/>
      <c r="B287" s="346"/>
      <c r="C287" s="677"/>
      <c r="D287" s="678"/>
      <c r="E287" s="678"/>
      <c r="F287" s="678"/>
      <c r="G287" s="678"/>
      <c r="H287" s="678"/>
      <c r="I287" s="678"/>
      <c r="J287" s="678"/>
      <c r="K287" s="366"/>
      <c r="L287" s="366"/>
      <c r="M287" s="366"/>
      <c r="N287" s="368"/>
      <c r="O287" s="756">
        <f>O285</f>
        <v>4</v>
      </c>
      <c r="P287" s="729"/>
      <c r="Q287" s="729"/>
      <c r="R287" s="681"/>
      <c r="S287" s="672"/>
      <c r="T287" s="672"/>
      <c r="U287" s="674">
        <f>U285</f>
        <v>4</v>
      </c>
      <c r="V287" s="672"/>
      <c r="W287" s="672"/>
      <c r="X287" s="672"/>
      <c r="Y287" s="175"/>
      <c r="Z287" s="681"/>
      <c r="AA287" s="366"/>
      <c r="AB287" s="366"/>
      <c r="AC287" s="366"/>
      <c r="AD287" s="368"/>
      <c r="AE287" s="717"/>
      <c r="AF287" s="708"/>
      <c r="AG287" s="708"/>
      <c r="AH287" s="708"/>
      <c r="AI287" s="672"/>
      <c r="AJ287" s="672"/>
      <c r="AK287" s="673"/>
    </row>
    <row r="288" spans="1:37" s="347" customFormat="1" x14ac:dyDescent="0.35">
      <c r="A288" s="346"/>
      <c r="B288" s="346"/>
      <c r="C288" s="748" t="s">
        <v>185</v>
      </c>
      <c r="D288" s="749"/>
      <c r="E288" s="749"/>
      <c r="F288" s="749"/>
      <c r="G288" s="749"/>
      <c r="H288" s="749"/>
      <c r="I288" s="749"/>
      <c r="J288" s="749"/>
      <c r="K288" s="749"/>
      <c r="L288" s="749"/>
      <c r="M288" s="749"/>
      <c r="N288" s="750"/>
      <c r="O288" s="715">
        <f>AE284</f>
        <v>64.328989274332315</v>
      </c>
      <c r="P288" s="716"/>
      <c r="Q288" s="716"/>
      <c r="R288" s="716"/>
      <c r="S288" s="670" t="s">
        <v>23</v>
      </c>
      <c r="T288" s="689">
        <f>AE284</f>
        <v>64.328989274332315</v>
      </c>
      <c r="U288" s="689"/>
      <c r="V288" s="689"/>
      <c r="W288" s="409" t="s">
        <v>23</v>
      </c>
      <c r="X288" s="689">
        <f>AE286</f>
        <v>87.421666869078393</v>
      </c>
      <c r="Y288" s="689"/>
      <c r="Z288" s="689"/>
      <c r="AA288" s="670" t="s">
        <v>21</v>
      </c>
      <c r="AB288" s="716">
        <f>AB272</f>
        <v>0.7</v>
      </c>
      <c r="AC288" s="716"/>
      <c r="AD288" s="718"/>
      <c r="AE288" s="709">
        <f>O288-((T288-X288)/V289)*AB288</f>
        <v>68.370207853412879</v>
      </c>
      <c r="AF288" s="710"/>
      <c r="AG288" s="710"/>
      <c r="AH288" s="710"/>
      <c r="AI288" s="670" t="s">
        <v>182</v>
      </c>
      <c r="AJ288" s="670"/>
      <c r="AK288" s="671"/>
    </row>
    <row r="289" spans="1:51" s="347" customFormat="1" x14ac:dyDescent="0.35">
      <c r="A289" s="346"/>
      <c r="B289" s="346"/>
      <c r="C289" s="751"/>
      <c r="D289" s="752"/>
      <c r="E289" s="752"/>
      <c r="F289" s="752"/>
      <c r="G289" s="752"/>
      <c r="H289" s="752"/>
      <c r="I289" s="752"/>
      <c r="J289" s="752"/>
      <c r="K289" s="752"/>
      <c r="L289" s="752"/>
      <c r="M289" s="752"/>
      <c r="N289" s="753"/>
      <c r="O289" s="717"/>
      <c r="P289" s="708"/>
      <c r="Q289" s="708"/>
      <c r="R289" s="708"/>
      <c r="S289" s="672"/>
      <c r="T289" s="366"/>
      <c r="U289" s="366"/>
      <c r="V289" s="708">
        <f>O283</f>
        <v>4</v>
      </c>
      <c r="W289" s="708"/>
      <c r="X289" s="708"/>
      <c r="Y289" s="366"/>
      <c r="Z289" s="366"/>
      <c r="AA289" s="672"/>
      <c r="AB289" s="708"/>
      <c r="AC289" s="708"/>
      <c r="AD289" s="719"/>
      <c r="AE289" s="711"/>
      <c r="AF289" s="712"/>
      <c r="AG289" s="712"/>
      <c r="AH289" s="712"/>
      <c r="AI289" s="672"/>
      <c r="AJ289" s="672"/>
      <c r="AK289" s="673"/>
    </row>
    <row r="290" spans="1:51" s="347" customFormat="1" x14ac:dyDescent="0.35">
      <c r="A290" s="346"/>
      <c r="B290" s="346"/>
      <c r="C290" s="748" t="s">
        <v>186</v>
      </c>
      <c r="D290" s="749"/>
      <c r="E290" s="749"/>
      <c r="F290" s="749"/>
      <c r="G290" s="749"/>
      <c r="H290" s="749"/>
      <c r="I290" s="749"/>
      <c r="J290" s="749"/>
      <c r="K290" s="749"/>
      <c r="L290" s="749"/>
      <c r="M290" s="749"/>
      <c r="N290" s="750"/>
      <c r="O290" s="715">
        <f>O288</f>
        <v>64.328989274332315</v>
      </c>
      <c r="P290" s="716"/>
      <c r="Q290" s="716"/>
      <c r="R290" s="716"/>
      <c r="S290" s="670" t="s">
        <v>23</v>
      </c>
      <c r="T290" s="815">
        <f>T288</f>
        <v>64.328989274332315</v>
      </c>
      <c r="U290" s="815"/>
      <c r="V290" s="815"/>
      <c r="W290" s="409" t="s">
        <v>23</v>
      </c>
      <c r="X290" s="689">
        <f>X288</f>
        <v>87.421666869078393</v>
      </c>
      <c r="Y290" s="689"/>
      <c r="Z290" s="689"/>
      <c r="AA290" s="670" t="s">
        <v>21</v>
      </c>
      <c r="AB290" s="716">
        <f>AB274</f>
        <v>2.8</v>
      </c>
      <c r="AC290" s="716"/>
      <c r="AD290" s="718"/>
      <c r="AE290" s="709">
        <f>O290-((T290-X290)/V291)*AB290</f>
        <v>80.49386359065457</v>
      </c>
      <c r="AF290" s="710"/>
      <c r="AG290" s="710"/>
      <c r="AH290" s="710"/>
      <c r="AI290" s="670" t="s">
        <v>182</v>
      </c>
      <c r="AJ290" s="670"/>
      <c r="AK290" s="671"/>
    </row>
    <row r="291" spans="1:51" s="347" customFormat="1" x14ac:dyDescent="0.35">
      <c r="A291" s="346"/>
      <c r="B291" s="346"/>
      <c r="C291" s="751"/>
      <c r="D291" s="752"/>
      <c r="E291" s="752"/>
      <c r="F291" s="752"/>
      <c r="G291" s="752"/>
      <c r="H291" s="752"/>
      <c r="I291" s="752"/>
      <c r="J291" s="752"/>
      <c r="K291" s="752"/>
      <c r="L291" s="752"/>
      <c r="M291" s="752"/>
      <c r="N291" s="753"/>
      <c r="O291" s="717"/>
      <c r="P291" s="708"/>
      <c r="Q291" s="708"/>
      <c r="R291" s="708"/>
      <c r="S291" s="672"/>
      <c r="T291" s="366"/>
      <c r="U291" s="366"/>
      <c r="V291" s="674">
        <f>V289</f>
        <v>4</v>
      </c>
      <c r="W291" s="672"/>
      <c r="X291" s="672"/>
      <c r="Y291" s="366"/>
      <c r="Z291" s="366"/>
      <c r="AA291" s="672"/>
      <c r="AB291" s="708"/>
      <c r="AC291" s="708"/>
      <c r="AD291" s="719"/>
      <c r="AE291" s="711"/>
      <c r="AF291" s="712"/>
      <c r="AG291" s="712"/>
      <c r="AH291" s="712"/>
      <c r="AI291" s="672"/>
      <c r="AJ291" s="672"/>
      <c r="AK291" s="673"/>
    </row>
    <row r="292" spans="1:51" s="347" customFormat="1" x14ac:dyDescent="0.35">
      <c r="A292" s="346"/>
      <c r="B292" s="346"/>
      <c r="C292" s="346"/>
      <c r="P292" s="351"/>
      <c r="Q292" s="351"/>
      <c r="R292" s="351"/>
      <c r="AY292" s="347" t="s">
        <v>408</v>
      </c>
    </row>
    <row r="293" spans="1:51" x14ac:dyDescent="0.35">
      <c r="A293" s="42"/>
      <c r="B293" s="42"/>
      <c r="C293" s="42"/>
      <c r="E293" s="78"/>
      <c r="F293" s="78"/>
      <c r="G293" s="78"/>
      <c r="H293" s="78"/>
      <c r="I293" s="73" t="str">
        <f>IF(AJ184="Safe","Shear key is not required","Shear key required")</f>
        <v>Shear key is not required</v>
      </c>
      <c r="U293" s="112"/>
      <c r="V293" s="112"/>
      <c r="W293" s="112"/>
      <c r="X293" s="112"/>
      <c r="Y293" s="112"/>
      <c r="Z293" s="112"/>
      <c r="AA293" s="112"/>
      <c r="AB293" s="112"/>
      <c r="AC293" s="112"/>
      <c r="AD293" s="112"/>
      <c r="AE293" s="112"/>
      <c r="AF293" s="112"/>
      <c r="AG293" s="112"/>
      <c r="AH293" s="112"/>
      <c r="AI293" s="112"/>
      <c r="AJ293" s="112"/>
      <c r="AK293" s="112"/>
      <c r="AL293" s="112"/>
      <c r="AM293" s="112"/>
      <c r="AN293" s="112"/>
      <c r="AO293" s="112"/>
      <c r="AP293" s="112"/>
    </row>
    <row r="294" spans="1:51" hidden="1" x14ac:dyDescent="0.3">
      <c r="A294" s="42"/>
      <c r="B294" s="42"/>
      <c r="C294" s="42"/>
      <c r="E294" s="37"/>
      <c r="F294" s="37"/>
      <c r="G294" s="37"/>
      <c r="H294" s="37"/>
      <c r="I294" s="37"/>
      <c r="J294" s="37"/>
      <c r="K294" s="37"/>
      <c r="L294" s="115" t="s">
        <v>44</v>
      </c>
      <c r="N294" s="695" t="s">
        <v>0</v>
      </c>
      <c r="O294" s="672">
        <v>1</v>
      </c>
      <c r="P294" s="672"/>
      <c r="Q294" s="695" t="s">
        <v>0</v>
      </c>
      <c r="R294" s="695">
        <v>1</v>
      </c>
      <c r="S294" s="695"/>
      <c r="T294" s="695"/>
      <c r="U294" s="727" t="s">
        <v>0</v>
      </c>
      <c r="V294" s="684" t="e">
        <f>R294/R295</f>
        <v>#REF!</v>
      </c>
      <c r="W294" s="684"/>
      <c r="X294" s="112"/>
      <c r="Y294" s="112"/>
      <c r="Z294" s="112"/>
      <c r="AA294" s="112"/>
      <c r="AB294" s="112"/>
      <c r="AC294" s="112"/>
      <c r="AD294" s="112"/>
      <c r="AE294" s="112"/>
      <c r="AF294" s="112"/>
      <c r="AG294" s="112"/>
      <c r="AH294" s="112"/>
      <c r="AI294" s="112"/>
      <c r="AJ294" s="112"/>
      <c r="AK294" s="112"/>
      <c r="AL294" s="112"/>
      <c r="AM294" s="112"/>
      <c r="AN294" s="112"/>
      <c r="AO294" s="112"/>
      <c r="AP294" s="112"/>
    </row>
    <row r="295" spans="1:51" hidden="1" x14ac:dyDescent="0.35">
      <c r="A295" s="42"/>
      <c r="B295" s="42"/>
      <c r="C295" s="42"/>
      <c r="E295" s="37"/>
      <c r="F295" s="37"/>
      <c r="G295" s="37"/>
      <c r="H295" s="37"/>
      <c r="I295" s="37"/>
      <c r="J295" s="37"/>
      <c r="K295" s="37"/>
      <c r="M295" s="51" t="s">
        <v>45</v>
      </c>
      <c r="N295" s="695"/>
      <c r="O295" s="670" t="s">
        <v>46</v>
      </c>
      <c r="P295" s="670"/>
      <c r="Q295" s="695"/>
      <c r="R295" s="716" t="e">
        <f>#REF!</f>
        <v>#REF!</v>
      </c>
      <c r="S295" s="670"/>
      <c r="T295" s="670"/>
      <c r="U295" s="727"/>
      <c r="V295" s="684"/>
      <c r="W295" s="684"/>
      <c r="X295" s="112"/>
      <c r="Y295" s="112"/>
      <c r="Z295" s="112"/>
      <c r="AA295" s="112"/>
      <c r="AB295" s="112"/>
      <c r="AC295" s="112"/>
      <c r="AD295" s="112"/>
      <c r="AE295" s="112"/>
      <c r="AF295" s="112"/>
      <c r="AG295" s="112"/>
      <c r="AH295" s="112"/>
      <c r="AI295" s="112"/>
      <c r="AJ295" s="112"/>
      <c r="AK295" s="112"/>
      <c r="AL295" s="112"/>
      <c r="AM295" s="112"/>
      <c r="AN295" s="112"/>
      <c r="AO295" s="112"/>
      <c r="AP295" s="112"/>
    </row>
    <row r="296" spans="1:51" hidden="1" x14ac:dyDescent="0.35">
      <c r="A296" s="42"/>
      <c r="B296" s="42"/>
      <c r="C296" s="42"/>
      <c r="U296" s="112"/>
      <c r="V296" s="112"/>
      <c r="W296" s="112"/>
      <c r="X296" s="112"/>
      <c r="Y296" s="112"/>
      <c r="Z296" s="112"/>
      <c r="AA296" s="112"/>
      <c r="AB296" s="112"/>
      <c r="AC296" s="112"/>
      <c r="AD296" s="112"/>
      <c r="AE296" s="112"/>
      <c r="AF296" s="112"/>
      <c r="AG296" s="112"/>
      <c r="AH296" s="112"/>
      <c r="AI296" s="112"/>
      <c r="AJ296" s="112"/>
      <c r="AK296" s="112"/>
      <c r="AL296" s="112"/>
      <c r="AM296" s="112"/>
      <c r="AN296" s="112"/>
      <c r="AO296" s="112"/>
      <c r="AP296" s="112"/>
    </row>
    <row r="297" spans="1:51" hidden="1" x14ac:dyDescent="0.3">
      <c r="A297" s="42"/>
      <c r="B297" s="42"/>
      <c r="C297" s="42"/>
      <c r="E297" s="695" t="s">
        <v>43</v>
      </c>
      <c r="F297" s="695"/>
      <c r="G297" s="695"/>
      <c r="H297" s="695"/>
      <c r="I297" s="695"/>
      <c r="J297" s="695"/>
      <c r="K297" s="695"/>
      <c r="L297" s="695"/>
      <c r="M297" s="695"/>
      <c r="N297" s="36" t="s">
        <v>0</v>
      </c>
      <c r="O297" s="36" t="s">
        <v>44</v>
      </c>
      <c r="P297" s="109" t="s">
        <v>45</v>
      </c>
      <c r="Q297" s="36" t="s">
        <v>21</v>
      </c>
      <c r="R297" s="36" t="s">
        <v>45</v>
      </c>
      <c r="U297" s="112"/>
      <c r="V297" s="112"/>
      <c r="W297" s="112"/>
      <c r="X297" s="112"/>
      <c r="Y297" s="112"/>
      <c r="Z297" s="112"/>
      <c r="AA297" s="112"/>
      <c r="AB297" s="112"/>
      <c r="AC297" s="112"/>
      <c r="AD297" s="112"/>
      <c r="AE297" s="112"/>
      <c r="AF297" s="112"/>
      <c r="AG297" s="112"/>
      <c r="AH297" s="112"/>
      <c r="AI297" s="112"/>
      <c r="AJ297" s="112"/>
      <c r="AK297" s="112"/>
      <c r="AL297" s="112"/>
      <c r="AM297" s="112"/>
      <c r="AN297" s="112"/>
      <c r="AO297" s="112"/>
      <c r="AP297" s="112"/>
    </row>
    <row r="298" spans="1:51" hidden="1" x14ac:dyDescent="0.35">
      <c r="A298" s="42"/>
      <c r="B298" s="42"/>
      <c r="C298" s="42"/>
      <c r="N298" s="36" t="s">
        <v>0</v>
      </c>
      <c r="O298" s="695" t="e">
        <f>V294</f>
        <v>#REF!</v>
      </c>
      <c r="P298" s="695"/>
      <c r="Q298" s="36" t="s">
        <v>21</v>
      </c>
      <c r="R298" s="695">
        <f>AE218</f>
        <v>96.220841704935978</v>
      </c>
      <c r="S298" s="695"/>
      <c r="U298" s="112"/>
      <c r="V298" s="112"/>
      <c r="W298" s="112"/>
      <c r="X298" s="112"/>
      <c r="Y298" s="112"/>
      <c r="Z298" s="112"/>
      <c r="AA298" s="112"/>
      <c r="AB298" s="112"/>
      <c r="AC298" s="112"/>
      <c r="AD298" s="112"/>
      <c r="AE298" s="112"/>
      <c r="AF298" s="112"/>
      <c r="AG298" s="112"/>
      <c r="AH298" s="112"/>
      <c r="AI298" s="112"/>
      <c r="AJ298" s="112"/>
      <c r="AK298" s="112"/>
      <c r="AL298" s="112"/>
      <c r="AM298" s="112"/>
      <c r="AN298" s="112"/>
      <c r="AO298" s="112"/>
      <c r="AP298" s="112"/>
    </row>
    <row r="299" spans="1:51" hidden="1" x14ac:dyDescent="0.35">
      <c r="A299" s="42"/>
      <c r="B299" s="42"/>
      <c r="C299" s="42"/>
      <c r="F299" s="113"/>
      <c r="G299" s="113"/>
      <c r="H299" s="113"/>
      <c r="I299" s="113"/>
      <c r="J299" s="113"/>
      <c r="K299" s="113"/>
      <c r="L299" s="113"/>
      <c r="M299" s="113"/>
      <c r="N299" s="113" t="s">
        <v>0</v>
      </c>
      <c r="O299" s="848" t="e">
        <f>O298*R298</f>
        <v>#REF!</v>
      </c>
      <c r="P299" s="848"/>
      <c r="Q299" s="848"/>
      <c r="R299" s="686" t="s">
        <v>10</v>
      </c>
      <c r="S299" s="686"/>
      <c r="T299" s="686"/>
      <c r="W299" s="42"/>
      <c r="X299" s="42"/>
      <c r="Y299" s="42"/>
      <c r="AF299" s="111"/>
      <c r="AG299" s="111"/>
      <c r="AH299" s="111"/>
    </row>
    <row r="300" spans="1:51" hidden="1" x14ac:dyDescent="0.35">
      <c r="A300" s="42"/>
      <c r="B300" s="42"/>
      <c r="C300" s="42"/>
      <c r="F300" s="113"/>
      <c r="G300" s="113"/>
      <c r="H300" s="113"/>
      <c r="I300" s="113"/>
      <c r="J300" s="113"/>
      <c r="K300" s="113"/>
      <c r="L300" s="113"/>
      <c r="M300" s="113"/>
      <c r="N300" s="113"/>
      <c r="P300" s="114"/>
      <c r="Q300" s="114"/>
      <c r="R300" s="114"/>
      <c r="S300" s="114"/>
      <c r="W300" s="42"/>
      <c r="X300" s="42"/>
      <c r="Y300" s="42"/>
      <c r="AF300" s="111"/>
      <c r="AG300" s="111"/>
      <c r="AH300" s="111"/>
    </row>
    <row r="301" spans="1:51" hidden="1" x14ac:dyDescent="0.35">
      <c r="A301" s="42"/>
      <c r="B301" s="42"/>
      <c r="C301" s="42"/>
      <c r="F301" s="743" t="s">
        <v>47</v>
      </c>
      <c r="G301" s="743"/>
      <c r="H301" s="743"/>
      <c r="I301" s="743"/>
      <c r="J301" s="743"/>
      <c r="K301" s="743"/>
      <c r="L301" s="743"/>
      <c r="M301" s="743"/>
      <c r="N301" s="113" t="s">
        <v>0</v>
      </c>
      <c r="O301" s="848">
        <v>300</v>
      </c>
      <c r="P301" s="848"/>
      <c r="Q301" s="848"/>
      <c r="R301" s="686" t="s">
        <v>2</v>
      </c>
      <c r="S301" s="686"/>
      <c r="W301" s="42"/>
      <c r="X301" s="42"/>
      <c r="Y301" s="42"/>
      <c r="AF301" s="111"/>
      <c r="AG301" s="111"/>
      <c r="AH301" s="111"/>
    </row>
    <row r="302" spans="1:51" hidden="1" x14ac:dyDescent="0.35">
      <c r="A302" s="42"/>
      <c r="B302" s="42"/>
      <c r="C302" s="42"/>
      <c r="F302" s="743"/>
      <c r="G302" s="743"/>
      <c r="H302" s="743"/>
      <c r="I302" s="743"/>
      <c r="J302" s="743"/>
      <c r="K302" s="743"/>
      <c r="L302" s="743"/>
      <c r="M302" s="743"/>
      <c r="N302" s="113"/>
      <c r="P302" s="114"/>
      <c r="Q302" s="114"/>
      <c r="R302" s="114"/>
      <c r="S302" s="114"/>
      <c r="W302" s="42"/>
      <c r="X302" s="42"/>
      <c r="Y302" s="42"/>
      <c r="AF302" s="111"/>
      <c r="AG302" s="111"/>
      <c r="AH302" s="111"/>
    </row>
    <row r="303" spans="1:51" hidden="1" x14ac:dyDescent="0.35">
      <c r="A303" s="42"/>
      <c r="B303" s="42"/>
      <c r="C303" s="42"/>
      <c r="E303" s="683" t="s">
        <v>48</v>
      </c>
      <c r="F303" s="683"/>
      <c r="G303" s="683"/>
      <c r="H303" s="683"/>
      <c r="I303" s="683"/>
      <c r="J303" s="683"/>
      <c r="K303" s="683"/>
      <c r="L303" s="683"/>
      <c r="M303" s="683"/>
      <c r="N303" s="683"/>
      <c r="O303" s="695" t="e">
        <f>O299</f>
        <v>#REF!</v>
      </c>
      <c r="P303" s="695"/>
      <c r="Q303" s="695"/>
      <c r="R303" s="114" t="s">
        <v>21</v>
      </c>
      <c r="S303" s="686">
        <f>O301/1000</f>
        <v>0.3</v>
      </c>
      <c r="T303" s="686"/>
      <c r="U303" s="686"/>
      <c r="W303" s="42"/>
      <c r="X303" s="42"/>
      <c r="Y303" s="42"/>
      <c r="AF303" s="111"/>
      <c r="AG303" s="111"/>
      <c r="AH303" s="111"/>
    </row>
    <row r="304" spans="1:51" hidden="1" x14ac:dyDescent="0.35">
      <c r="A304" s="42"/>
      <c r="B304" s="42"/>
      <c r="C304" s="42"/>
      <c r="F304" s="113"/>
      <c r="G304" s="113"/>
      <c r="H304" s="113"/>
      <c r="I304" s="113"/>
      <c r="J304" s="113"/>
      <c r="K304" s="113"/>
      <c r="L304" s="113"/>
      <c r="M304" s="113"/>
      <c r="N304" s="113" t="s">
        <v>0</v>
      </c>
      <c r="O304" s="848" t="e">
        <f>O303*S303</f>
        <v>#REF!</v>
      </c>
      <c r="P304" s="848"/>
      <c r="Q304" s="848"/>
      <c r="R304" s="686" t="s">
        <v>12</v>
      </c>
      <c r="S304" s="686"/>
      <c r="W304" s="42"/>
      <c r="X304" s="42"/>
      <c r="Y304" s="42"/>
      <c r="AF304" s="111"/>
      <c r="AG304" s="111"/>
      <c r="AH304" s="111"/>
    </row>
    <row r="305" spans="1:42" hidden="1" x14ac:dyDescent="0.35">
      <c r="A305" s="42"/>
      <c r="B305" s="42"/>
      <c r="C305" s="42"/>
      <c r="P305" s="114"/>
      <c r="Q305" s="114"/>
      <c r="R305" s="114"/>
      <c r="S305" s="114"/>
      <c r="W305" s="42"/>
      <c r="X305" s="42"/>
      <c r="Y305" s="42"/>
      <c r="AF305" s="111"/>
      <c r="AG305" s="111"/>
      <c r="AH305" s="111"/>
    </row>
    <row r="306" spans="1:42" ht="12.75" hidden="1" customHeight="1" x14ac:dyDescent="0.35">
      <c r="A306" s="42"/>
      <c r="B306" s="42"/>
      <c r="C306" s="42"/>
      <c r="F306" s="113"/>
      <c r="G306" s="113"/>
      <c r="H306" s="113"/>
      <c r="I306" s="113"/>
      <c r="J306" s="113"/>
      <c r="K306" s="113"/>
      <c r="L306" s="683" t="s">
        <v>52</v>
      </c>
      <c r="M306" s="683"/>
      <c r="N306" s="113" t="s">
        <v>0</v>
      </c>
      <c r="O306" s="36">
        <v>1</v>
      </c>
      <c r="P306" s="686" t="s">
        <v>21</v>
      </c>
      <c r="Q306" s="849">
        <f>U69</f>
        <v>20</v>
      </c>
      <c r="R306" s="849"/>
      <c r="S306" s="896" t="s">
        <v>21</v>
      </c>
      <c r="T306" s="737">
        <f>I95+S303</f>
        <v>1.8</v>
      </c>
      <c r="U306" s="737"/>
      <c r="V306" s="51">
        <v>2</v>
      </c>
      <c r="W306" s="695" t="s">
        <v>0</v>
      </c>
      <c r="X306" s="685">
        <f>(O306/O307)*(Q306/Q307)*(T306^2)</f>
        <v>10.799999999999999</v>
      </c>
      <c r="Y306" s="685"/>
      <c r="Z306" s="685"/>
      <c r="AA306" s="695" t="s">
        <v>12</v>
      </c>
      <c r="AB306" s="695"/>
      <c r="AC306" s="86"/>
      <c r="AG306" s="111"/>
      <c r="AH306" s="111"/>
    </row>
    <row r="307" spans="1:42" hidden="1" x14ac:dyDescent="0.35">
      <c r="A307" s="42"/>
      <c r="B307" s="42"/>
      <c r="C307" s="42"/>
      <c r="F307" s="113"/>
      <c r="G307" s="113"/>
      <c r="H307" s="113"/>
      <c r="I307" s="113"/>
      <c r="J307" s="113"/>
      <c r="K307" s="113"/>
      <c r="L307" s="683"/>
      <c r="M307" s="683"/>
      <c r="N307" s="113"/>
      <c r="O307" s="107">
        <v>3</v>
      </c>
      <c r="P307" s="686"/>
      <c r="Q307" s="774">
        <v>2</v>
      </c>
      <c r="R307" s="774"/>
      <c r="S307" s="896"/>
      <c r="T307" s="737"/>
      <c r="U307" s="737"/>
      <c r="W307" s="695"/>
      <c r="X307" s="685"/>
      <c r="Y307" s="685"/>
      <c r="Z307" s="685"/>
      <c r="AA307" s="695"/>
      <c r="AB307" s="695"/>
      <c r="AC307" s="86"/>
      <c r="AG307" s="111"/>
      <c r="AH307" s="111"/>
    </row>
    <row r="308" spans="1:42" hidden="1" x14ac:dyDescent="0.35">
      <c r="A308" s="42"/>
      <c r="B308" s="42"/>
      <c r="C308" s="42"/>
      <c r="E308" s="683" t="s">
        <v>49</v>
      </c>
      <c r="F308" s="683"/>
      <c r="G308" s="683"/>
      <c r="H308" s="683"/>
      <c r="I308" s="683"/>
      <c r="J308" s="683"/>
      <c r="K308" s="683"/>
      <c r="L308" s="683"/>
      <c r="M308" s="683"/>
      <c r="N308" s="113" t="s">
        <v>0</v>
      </c>
      <c r="O308" s="704">
        <f>O301/1000</f>
        <v>0.3</v>
      </c>
      <c r="P308" s="704"/>
      <c r="Q308" s="116" t="s">
        <v>21</v>
      </c>
      <c r="R308" s="754">
        <f>U12</f>
        <v>4</v>
      </c>
      <c r="S308" s="754"/>
      <c r="T308" s="36" t="s">
        <v>21</v>
      </c>
      <c r="U308" s="36">
        <v>1</v>
      </c>
      <c r="V308" s="36" t="s">
        <v>21</v>
      </c>
      <c r="W308" s="695">
        <f>U69</f>
        <v>20</v>
      </c>
      <c r="X308" s="695"/>
      <c r="Y308" s="117"/>
      <c r="Z308" s="117"/>
      <c r="AC308" s="86"/>
      <c r="AG308" s="111"/>
      <c r="AH308" s="111"/>
    </row>
    <row r="309" spans="1:42" hidden="1" x14ac:dyDescent="0.35">
      <c r="A309" s="42"/>
      <c r="B309" s="42"/>
      <c r="C309" s="42"/>
      <c r="E309" s="683"/>
      <c r="F309" s="683"/>
      <c r="G309" s="683"/>
      <c r="H309" s="683"/>
      <c r="I309" s="683"/>
      <c r="J309" s="683"/>
      <c r="K309" s="683"/>
      <c r="L309" s="683"/>
      <c r="M309" s="683"/>
      <c r="N309" s="113" t="s">
        <v>0</v>
      </c>
      <c r="O309" s="704">
        <f>O308*R308*U308*W308</f>
        <v>24</v>
      </c>
      <c r="P309" s="704"/>
      <c r="Q309" s="704"/>
      <c r="R309" s="693" t="s">
        <v>12</v>
      </c>
      <c r="S309" s="693"/>
      <c r="X309" s="117"/>
      <c r="Y309" s="117"/>
      <c r="Z309" s="117"/>
      <c r="AC309" s="86"/>
      <c r="AG309" s="111"/>
      <c r="AH309" s="111"/>
    </row>
    <row r="310" spans="1:42" ht="12.75" hidden="1" customHeight="1" x14ac:dyDescent="0.35">
      <c r="A310" s="42"/>
      <c r="B310" s="42"/>
      <c r="C310" s="42"/>
      <c r="F310" s="113"/>
      <c r="G310" s="113"/>
      <c r="H310" s="113"/>
      <c r="I310" s="113"/>
      <c r="J310" s="113"/>
      <c r="K310" s="113"/>
      <c r="L310" s="683" t="s">
        <v>150</v>
      </c>
      <c r="M310" s="683"/>
      <c r="N310" s="113" t="s">
        <v>0</v>
      </c>
      <c r="O310" s="737">
        <f>W161</f>
        <v>303.50131228682142</v>
      </c>
      <c r="P310" s="737"/>
      <c r="Q310" s="737"/>
      <c r="R310" s="114" t="s">
        <v>25</v>
      </c>
      <c r="S310" s="686">
        <f>O309</f>
        <v>24</v>
      </c>
      <c r="T310" s="686"/>
      <c r="U310" s="686"/>
      <c r="V310" s="686"/>
      <c r="W310" s="42"/>
      <c r="X310" s="42"/>
      <c r="Y310" s="42"/>
      <c r="AF310" s="111"/>
      <c r="AG310" s="111"/>
      <c r="AH310" s="111"/>
    </row>
    <row r="311" spans="1:42" hidden="1" x14ac:dyDescent="0.35">
      <c r="A311" s="42"/>
      <c r="B311" s="42"/>
      <c r="C311" s="42"/>
      <c r="F311" s="113"/>
      <c r="G311" s="113"/>
      <c r="H311" s="113"/>
      <c r="I311" s="113"/>
      <c r="J311" s="113"/>
      <c r="K311" s="113"/>
      <c r="L311" s="110"/>
      <c r="M311" s="110"/>
      <c r="N311" s="113" t="s">
        <v>0</v>
      </c>
      <c r="O311" s="813">
        <f>O310+S310</f>
        <v>327.50131228682142</v>
      </c>
      <c r="P311" s="813"/>
      <c r="Q311" s="813"/>
      <c r="R311" s="686" t="s">
        <v>12</v>
      </c>
      <c r="S311" s="686"/>
      <c r="AF311" s="111"/>
      <c r="AG311" s="111"/>
      <c r="AH311" s="111"/>
    </row>
    <row r="312" spans="1:42" hidden="1" x14ac:dyDescent="0.35">
      <c r="A312" s="42"/>
      <c r="B312" s="42"/>
      <c r="C312" s="42"/>
      <c r="F312" s="113"/>
      <c r="G312" s="113"/>
      <c r="H312" s="113"/>
      <c r="I312" s="113"/>
      <c r="J312" s="113"/>
      <c r="K312" s="113"/>
      <c r="L312" s="113"/>
      <c r="M312" s="113"/>
      <c r="N312" s="113"/>
      <c r="P312" s="114"/>
      <c r="Q312" s="114"/>
      <c r="R312" s="114"/>
      <c r="S312" s="114"/>
      <c r="AF312" s="111"/>
      <c r="AG312" s="111"/>
      <c r="AH312" s="111"/>
    </row>
    <row r="313" spans="1:42" hidden="1" x14ac:dyDescent="0.35">
      <c r="A313" s="42"/>
      <c r="B313" s="42"/>
      <c r="C313" s="42"/>
      <c r="D313" s="743" t="s">
        <v>50</v>
      </c>
      <c r="E313" s="743"/>
      <c r="F313" s="743"/>
      <c r="G313" s="743"/>
      <c r="H313" s="743"/>
      <c r="I313" s="743"/>
      <c r="J313" s="743"/>
      <c r="K313" s="743"/>
      <c r="L313" s="743"/>
      <c r="M313" s="743"/>
      <c r="N313" s="36" t="s">
        <v>0</v>
      </c>
      <c r="O313" s="672" t="s">
        <v>51</v>
      </c>
      <c r="P313" s="672"/>
      <c r="Q313" s="672"/>
      <c r="R313" s="672"/>
      <c r="S313" s="672"/>
      <c r="T313" s="672"/>
      <c r="U313" s="672"/>
      <c r="V313" s="672"/>
      <c r="AH313" s="913"/>
    </row>
    <row r="314" spans="1:42" hidden="1" x14ac:dyDescent="0.35">
      <c r="A314" s="42"/>
      <c r="B314" s="42"/>
      <c r="C314" s="42"/>
      <c r="P314" s="114"/>
      <c r="Q314" s="716" t="s">
        <v>52</v>
      </c>
      <c r="R314" s="716"/>
      <c r="S314" s="716"/>
      <c r="T314" s="716"/>
      <c r="AH314" s="913"/>
    </row>
    <row r="315" spans="1:42" ht="12.75" hidden="1" customHeight="1" x14ac:dyDescent="0.35">
      <c r="A315" s="42"/>
      <c r="B315" s="42"/>
      <c r="C315" s="42"/>
      <c r="F315" s="113"/>
      <c r="G315" s="113"/>
      <c r="H315" s="113"/>
      <c r="I315" s="113"/>
      <c r="J315" s="113"/>
      <c r="K315" s="113"/>
      <c r="L315" s="113"/>
      <c r="M315" s="113"/>
      <c r="N315" s="704" t="s">
        <v>0</v>
      </c>
      <c r="O315" s="672">
        <f>U72</f>
        <v>0.57735026918962573</v>
      </c>
      <c r="P315" s="672"/>
      <c r="Q315" s="87" t="s">
        <v>21</v>
      </c>
      <c r="R315" s="672">
        <f>O311</f>
        <v>327.50131228682142</v>
      </c>
      <c r="S315" s="672"/>
      <c r="T315" s="672"/>
      <c r="U315" s="87" t="s">
        <v>25</v>
      </c>
      <c r="V315" s="672" t="e">
        <f>O304</f>
        <v>#REF!</v>
      </c>
      <c r="W315" s="672"/>
      <c r="X315" s="672"/>
      <c r="AF315" s="111"/>
      <c r="AG315" s="111"/>
      <c r="AH315" s="111"/>
    </row>
    <row r="316" spans="1:42" hidden="1" x14ac:dyDescent="0.35">
      <c r="A316" s="42"/>
      <c r="B316" s="42"/>
      <c r="C316" s="42"/>
      <c r="F316" s="113"/>
      <c r="G316" s="113"/>
      <c r="H316" s="113"/>
      <c r="I316" s="113"/>
      <c r="J316" s="113"/>
      <c r="K316" s="113"/>
      <c r="L316" s="113"/>
      <c r="M316" s="113"/>
      <c r="N316" s="704"/>
      <c r="O316" s="42"/>
      <c r="P316" s="42"/>
      <c r="Q316" s="670">
        <f>X306</f>
        <v>10.799999999999999</v>
      </c>
      <c r="R316" s="670"/>
      <c r="S316" s="670"/>
      <c r="T316" s="670"/>
      <c r="U316" s="670"/>
      <c r="W316" s="111"/>
      <c r="X316" s="111"/>
      <c r="Y316" s="118"/>
      <c r="Z316" s="118"/>
      <c r="AF316" s="111"/>
      <c r="AG316" s="111"/>
      <c r="AH316" s="111"/>
    </row>
    <row r="317" spans="1:42" hidden="1" x14ac:dyDescent="0.35">
      <c r="A317" s="42"/>
      <c r="B317" s="42"/>
      <c r="C317" s="42"/>
      <c r="F317" s="113"/>
      <c r="G317" s="113"/>
      <c r="H317" s="113"/>
      <c r="I317" s="113"/>
      <c r="J317" s="113"/>
      <c r="K317" s="113"/>
      <c r="L317" s="113"/>
      <c r="M317" s="113"/>
      <c r="N317" s="42" t="s">
        <v>0</v>
      </c>
      <c r="O317" s="682" t="e">
        <f>(O315*R315+V315)/Q316</f>
        <v>#REF!</v>
      </c>
      <c r="P317" s="682"/>
      <c r="Q317" s="682"/>
      <c r="R317" s="36" t="s">
        <v>42</v>
      </c>
      <c r="S317" s="737">
        <f>U77</f>
        <v>1</v>
      </c>
      <c r="T317" s="737"/>
      <c r="U317" s="738" t="e">
        <f>IF(O317&gt;S317,"Hence safe","Hence Unsafe,  To make it safe we have to provide a shear key")</f>
        <v>#REF!</v>
      </c>
      <c r="V317" s="738"/>
      <c r="W317" s="738"/>
      <c r="X317" s="738"/>
      <c r="Y317" s="738"/>
      <c r="Z317" s="738"/>
      <c r="AA317" s="738"/>
      <c r="AB317" s="738"/>
      <c r="AC317" s="738"/>
      <c r="AD317" s="738"/>
      <c r="AE317" s="738"/>
      <c r="AF317" s="738"/>
      <c r="AG317" s="738"/>
      <c r="AH317" s="738"/>
      <c r="AI317" s="738"/>
      <c r="AJ317" s="738"/>
      <c r="AK317" s="738"/>
      <c r="AL317" s="738"/>
      <c r="AM317" s="738"/>
      <c r="AN317" s="738"/>
      <c r="AO317" s="738"/>
      <c r="AP317" s="738"/>
    </row>
    <row r="318" spans="1:42" hidden="1" x14ac:dyDescent="0.35">
      <c r="A318" s="42"/>
      <c r="B318" s="42"/>
      <c r="C318" s="42"/>
      <c r="F318" s="113"/>
      <c r="G318" s="113"/>
      <c r="H318" s="113"/>
      <c r="I318" s="113"/>
      <c r="J318" s="113"/>
      <c r="K318" s="113"/>
      <c r="L318" s="113"/>
      <c r="M318" s="113"/>
      <c r="N318" s="113"/>
      <c r="P318" s="114"/>
      <c r="Q318" s="114"/>
      <c r="U318" s="738"/>
      <c r="V318" s="738"/>
      <c r="W318" s="738"/>
      <c r="X318" s="738"/>
      <c r="Y318" s="738"/>
      <c r="Z318" s="738"/>
      <c r="AA318" s="738"/>
      <c r="AB318" s="738"/>
      <c r="AC318" s="738"/>
      <c r="AD318" s="738"/>
      <c r="AE318" s="738"/>
      <c r="AF318" s="738"/>
      <c r="AG318" s="738"/>
      <c r="AH318" s="738"/>
      <c r="AI318" s="738"/>
      <c r="AJ318" s="738"/>
      <c r="AK318" s="738"/>
      <c r="AL318" s="738"/>
      <c r="AM318" s="738"/>
      <c r="AN318" s="738"/>
      <c r="AO318" s="738"/>
      <c r="AP318" s="738"/>
    </row>
    <row r="319" spans="1:42" ht="12.75" hidden="1" customHeight="1" x14ac:dyDescent="0.35">
      <c r="A319" s="42"/>
      <c r="B319" s="42"/>
      <c r="C319" s="42"/>
      <c r="F319" s="932" t="s">
        <v>53</v>
      </c>
      <c r="G319" s="932"/>
      <c r="H319" s="932"/>
      <c r="I319" s="932"/>
      <c r="J319" s="932"/>
      <c r="K319" s="932"/>
      <c r="L319" s="932"/>
      <c r="M319" s="932"/>
      <c r="N319" s="932"/>
      <c r="O319" s="932"/>
      <c r="P319" s="932"/>
      <c r="Q319" s="932"/>
      <c r="R319" s="932"/>
      <c r="S319" s="932"/>
      <c r="T319" s="932"/>
      <c r="U319" s="932"/>
      <c r="V319" s="932"/>
      <c r="W319" s="932"/>
      <c r="X319" s="932"/>
      <c r="Y319" s="932"/>
      <c r="Z319" s="932"/>
      <c r="AA319" s="932"/>
      <c r="AB319" s="932"/>
      <c r="AC319" s="932"/>
      <c r="AD319" s="932"/>
      <c r="AE319" s="932"/>
      <c r="AF319" s="932"/>
      <c r="AG319" s="932"/>
      <c r="AH319" s="932"/>
      <c r="AI319" s="932"/>
      <c r="AJ319" s="932"/>
      <c r="AK319" s="932"/>
      <c r="AL319" s="932"/>
      <c r="AM319" s="932"/>
      <c r="AN319" s="932"/>
      <c r="AO319" s="932"/>
    </row>
    <row r="320" spans="1:42" hidden="1" x14ac:dyDescent="0.35">
      <c r="A320" s="42"/>
      <c r="B320" s="42"/>
      <c r="C320" s="42"/>
      <c r="F320" s="932"/>
      <c r="G320" s="932"/>
      <c r="H320" s="932"/>
      <c r="I320" s="932"/>
      <c r="J320" s="932"/>
      <c r="K320" s="932"/>
      <c r="L320" s="932"/>
      <c r="M320" s="932"/>
      <c r="N320" s="932"/>
      <c r="O320" s="932"/>
      <c r="P320" s="932"/>
      <c r="Q320" s="932"/>
      <c r="R320" s="932"/>
      <c r="S320" s="932"/>
      <c r="T320" s="932"/>
      <c r="U320" s="932"/>
      <c r="V320" s="932"/>
      <c r="W320" s="932"/>
      <c r="X320" s="932"/>
      <c r="Y320" s="932"/>
      <c r="Z320" s="932"/>
      <c r="AA320" s="932"/>
      <c r="AB320" s="932"/>
      <c r="AC320" s="932"/>
      <c r="AD320" s="932"/>
      <c r="AE320" s="932"/>
      <c r="AF320" s="932"/>
      <c r="AG320" s="932"/>
      <c r="AH320" s="932"/>
      <c r="AI320" s="932"/>
      <c r="AJ320" s="932"/>
      <c r="AK320" s="932"/>
      <c r="AL320" s="932"/>
      <c r="AM320" s="932"/>
      <c r="AN320" s="932"/>
      <c r="AO320" s="932"/>
    </row>
    <row r="321" spans="1:39" ht="15" hidden="1" customHeight="1" x14ac:dyDescent="0.35">
      <c r="A321" s="42"/>
      <c r="B321" s="42"/>
      <c r="C321" s="42"/>
      <c r="F321" s="113"/>
      <c r="G321" s="113"/>
      <c r="H321" s="113"/>
      <c r="I321" s="113"/>
      <c r="J321" s="113"/>
      <c r="K321" s="113"/>
      <c r="L321" s="683" t="s">
        <v>54</v>
      </c>
      <c r="M321" s="683"/>
      <c r="N321" s="113" t="s">
        <v>0</v>
      </c>
      <c r="O321" s="686" t="s">
        <v>158</v>
      </c>
      <c r="P321" s="686"/>
      <c r="Q321" s="686"/>
      <c r="R321" s="686"/>
      <c r="S321" s="119" t="s">
        <v>0</v>
      </c>
      <c r="T321" s="686" t="s">
        <v>159</v>
      </c>
      <c r="U321" s="686"/>
      <c r="V321" s="686"/>
      <c r="W321" s="686"/>
      <c r="X321" s="686"/>
      <c r="Y321" s="686"/>
      <c r="Z321" s="36" t="s">
        <v>0</v>
      </c>
      <c r="AA321" s="36" t="s">
        <v>29</v>
      </c>
      <c r="AB321" s="695" t="s">
        <v>58</v>
      </c>
      <c r="AC321" s="695"/>
      <c r="AF321" s="111"/>
      <c r="AG321" s="111"/>
      <c r="AH321" s="111"/>
    </row>
    <row r="322" spans="1:39" ht="12.75" hidden="1" customHeight="1" x14ac:dyDescent="0.35">
      <c r="A322" s="42"/>
      <c r="B322" s="42"/>
      <c r="C322" s="42"/>
      <c r="F322" s="113"/>
      <c r="G322" s="113"/>
      <c r="H322" s="113"/>
      <c r="I322" s="683" t="s">
        <v>55</v>
      </c>
      <c r="J322" s="683"/>
      <c r="K322" s="683"/>
      <c r="L322" s="683"/>
      <c r="M322" s="110" t="s">
        <v>56</v>
      </c>
      <c r="N322" s="113" t="s">
        <v>0</v>
      </c>
      <c r="O322" s="686" t="s">
        <v>151</v>
      </c>
      <c r="P322" s="686"/>
      <c r="Q322" s="686"/>
      <c r="R322" s="686"/>
      <c r="S322" s="119" t="s">
        <v>0</v>
      </c>
      <c r="T322" s="686" t="s">
        <v>57</v>
      </c>
      <c r="U322" s="686"/>
      <c r="V322" s="686"/>
      <c r="W322" s="686"/>
      <c r="X322" s="686"/>
      <c r="Y322" s="686"/>
      <c r="Z322" s="686"/>
      <c r="AA322" s="686"/>
      <c r="AB322" s="686"/>
      <c r="AC322" s="686"/>
      <c r="AD322" s="686"/>
      <c r="AE322" s="686"/>
      <c r="AF322" s="686"/>
      <c r="AG322" s="686"/>
      <c r="AH322" s="686"/>
    </row>
    <row r="323" spans="1:39" hidden="1" x14ac:dyDescent="0.35">
      <c r="A323" s="42"/>
      <c r="B323" s="42"/>
      <c r="C323" s="42"/>
      <c r="F323" s="113"/>
      <c r="G323" s="113"/>
      <c r="H323" s="113"/>
      <c r="I323" s="113"/>
      <c r="J323" s="113"/>
      <c r="K323" s="113"/>
      <c r="L323" s="683" t="s">
        <v>54</v>
      </c>
      <c r="M323" s="683"/>
      <c r="N323" s="113" t="s">
        <v>0</v>
      </c>
      <c r="O323" s="682" t="e">
        <f>(O301/1000)*SQRT(V294)</f>
        <v>#REF!</v>
      </c>
      <c r="P323" s="682"/>
      <c r="Q323" s="682"/>
      <c r="R323" s="114"/>
      <c r="S323" s="114"/>
      <c r="W323" s="42"/>
      <c r="X323" s="42"/>
      <c r="Y323" s="42"/>
      <c r="AF323" s="111"/>
      <c r="AG323" s="111"/>
      <c r="AH323" s="111"/>
    </row>
    <row r="324" spans="1:39" ht="12.75" hidden="1" customHeight="1" x14ac:dyDescent="0.35">
      <c r="A324" s="42"/>
      <c r="B324" s="42"/>
      <c r="C324" s="42"/>
      <c r="F324" s="683" t="s">
        <v>60</v>
      </c>
      <c r="G324" s="683"/>
      <c r="H324" s="683"/>
      <c r="I324" s="683"/>
      <c r="J324" s="683"/>
      <c r="K324" s="683"/>
      <c r="L324" s="683"/>
      <c r="M324" s="683"/>
      <c r="N324" s="683"/>
      <c r="O324" s="683"/>
      <c r="P324" s="683"/>
      <c r="Q324" s="683"/>
      <c r="R324" s="683"/>
      <c r="S324" s="683"/>
      <c r="T324" s="684">
        <f>U13</f>
        <v>0.7</v>
      </c>
      <c r="U324" s="684"/>
      <c r="V324" s="110" t="s">
        <v>1</v>
      </c>
      <c r="W324" s="42"/>
      <c r="X324" s="685" t="e">
        <f>IF(T324&gt;O323,"Hence Satisfactory","Hence Not Satisfactory")</f>
        <v>#REF!</v>
      </c>
      <c r="Y324" s="685"/>
      <c r="Z324" s="685"/>
      <c r="AA324" s="685"/>
      <c r="AB324" s="685"/>
      <c r="AC324" s="685"/>
      <c r="AD324" s="685"/>
      <c r="AE324" s="685"/>
      <c r="AF324" s="685"/>
      <c r="AG324" s="685"/>
      <c r="AH324" s="685"/>
      <c r="AI324" s="685"/>
      <c r="AJ324" s="685"/>
      <c r="AK324" s="685"/>
      <c r="AL324" s="685"/>
      <c r="AM324" s="685"/>
    </row>
    <row r="325" spans="1:39" hidden="1" x14ac:dyDescent="0.35">
      <c r="A325" s="42"/>
      <c r="B325" s="42"/>
      <c r="C325" s="42"/>
      <c r="F325" s="113"/>
      <c r="G325" s="113"/>
      <c r="H325" s="113"/>
      <c r="I325" s="113"/>
      <c r="J325" s="113"/>
      <c r="K325" s="113"/>
      <c r="L325" s="113"/>
      <c r="M325" s="113"/>
      <c r="N325" s="113"/>
      <c r="P325" s="114"/>
      <c r="Q325" s="114"/>
      <c r="R325" s="114"/>
      <c r="S325" s="114"/>
      <c r="W325" s="42"/>
      <c r="X325" s="42"/>
      <c r="Y325" s="42"/>
      <c r="AF325" s="111"/>
      <c r="AG325" s="111"/>
      <c r="AH325" s="111"/>
    </row>
    <row r="326" spans="1:39" ht="12.75" hidden="1" customHeight="1" x14ac:dyDescent="0.35">
      <c r="A326" s="42"/>
      <c r="B326" s="42"/>
      <c r="C326" s="42"/>
      <c r="F326" s="683" t="s">
        <v>59</v>
      </c>
      <c r="G326" s="683"/>
      <c r="H326" s="683"/>
      <c r="I326" s="683"/>
      <c r="J326" s="683"/>
      <c r="K326" s="683"/>
      <c r="L326" s="683"/>
      <c r="M326" s="683"/>
      <c r="N326" s="683"/>
      <c r="O326" s="683"/>
      <c r="P326" s="683"/>
      <c r="Q326" s="683"/>
      <c r="R326" s="683"/>
      <c r="S326" s="683"/>
      <c r="T326" s="683" t="s">
        <v>61</v>
      </c>
      <c r="U326" s="683"/>
      <c r="V326" s="683"/>
      <c r="W326" s="683"/>
      <c r="X326" s="683"/>
      <c r="Y326" s="683"/>
      <c r="Z326" s="683"/>
      <c r="AA326" s="683"/>
      <c r="AB326" s="683"/>
      <c r="AC326" s="110"/>
      <c r="AD326" s="110"/>
      <c r="AE326" s="110"/>
      <c r="AF326" s="110"/>
      <c r="AG326" s="110"/>
      <c r="AH326" s="111"/>
    </row>
    <row r="327" spans="1:39" hidden="1" x14ac:dyDescent="0.35">
      <c r="A327" s="42"/>
      <c r="B327" s="42"/>
      <c r="C327" s="42"/>
      <c r="S327" s="36" t="s">
        <v>0</v>
      </c>
      <c r="T327" s="695">
        <v>1.5</v>
      </c>
      <c r="U327" s="695"/>
      <c r="V327" s="36" t="s">
        <v>21</v>
      </c>
      <c r="W327" s="695">
        <f>X306</f>
        <v>10.799999999999999</v>
      </c>
      <c r="X327" s="695"/>
      <c r="Y327" s="695"/>
      <c r="Z327" s="36" t="s">
        <v>23</v>
      </c>
      <c r="AA327" s="695">
        <f>U72</f>
        <v>0.57735026918962573</v>
      </c>
      <c r="AB327" s="695"/>
      <c r="AC327" s="36" t="s">
        <v>21</v>
      </c>
      <c r="AD327" s="737">
        <f>O311</f>
        <v>327.50131228682142</v>
      </c>
      <c r="AE327" s="695"/>
      <c r="AF327" s="695"/>
    </row>
    <row r="328" spans="1:39" hidden="1" x14ac:dyDescent="0.35">
      <c r="A328" s="42"/>
      <c r="B328" s="42"/>
      <c r="C328" s="42"/>
      <c r="S328" s="36" t="s">
        <v>0</v>
      </c>
      <c r="T328" s="813">
        <f>T327*W327-AA327*AD327</f>
        <v>-172.88297080875205</v>
      </c>
      <c r="U328" s="813"/>
      <c r="V328" s="813"/>
      <c r="W328" s="695" t="s">
        <v>12</v>
      </c>
      <c r="X328" s="695"/>
      <c r="AD328" s="89"/>
    </row>
    <row r="329" spans="1:39" hidden="1" x14ac:dyDescent="0.35">
      <c r="A329" s="42"/>
      <c r="B329" s="42"/>
      <c r="C329" s="42"/>
      <c r="O329" s="36" t="s">
        <v>62</v>
      </c>
      <c r="T329" s="674">
        <f>T328</f>
        <v>-172.88297080875205</v>
      </c>
      <c r="U329" s="672"/>
      <c r="V329" s="672"/>
      <c r="W329" s="87" t="s">
        <v>21</v>
      </c>
      <c r="X329" s="672">
        <v>1000</v>
      </c>
      <c r="Y329" s="672"/>
      <c r="Z329" s="672"/>
      <c r="AD329" s="89"/>
    </row>
    <row r="330" spans="1:39" hidden="1" x14ac:dyDescent="0.35">
      <c r="A330" s="42"/>
      <c r="B330" s="42"/>
      <c r="C330" s="42"/>
      <c r="T330" s="695">
        <v>1000</v>
      </c>
      <c r="U330" s="695"/>
      <c r="V330" s="695"/>
      <c r="W330" s="36" t="s">
        <v>21</v>
      </c>
      <c r="X330" s="695">
        <f>O301</f>
        <v>300</v>
      </c>
      <c r="Y330" s="695"/>
      <c r="Z330" s="695"/>
      <c r="AD330" s="89"/>
    </row>
    <row r="331" spans="1:39" hidden="1" x14ac:dyDescent="0.35">
      <c r="A331" s="42"/>
      <c r="B331" s="42"/>
      <c r="C331" s="42"/>
      <c r="S331" s="36" t="s">
        <v>0</v>
      </c>
      <c r="T331" s="682">
        <f>(T329*X329)/(T330*X330)</f>
        <v>-0.57627656936250682</v>
      </c>
      <c r="U331" s="682"/>
      <c r="V331" s="682"/>
      <c r="W331" s="695" t="s">
        <v>63</v>
      </c>
      <c r="X331" s="695"/>
      <c r="Y331" s="695"/>
      <c r="AD331" s="89"/>
    </row>
    <row r="332" spans="1:39" hidden="1" x14ac:dyDescent="0.35">
      <c r="A332" s="42"/>
      <c r="B332" s="42"/>
      <c r="C332" s="42"/>
      <c r="AD332" s="89"/>
    </row>
    <row r="333" spans="1:39" hidden="1" x14ac:dyDescent="0.35">
      <c r="A333" s="42"/>
      <c r="B333" s="42"/>
      <c r="C333" s="42"/>
      <c r="J333" s="695" t="s">
        <v>64</v>
      </c>
      <c r="K333" s="695"/>
      <c r="L333" s="695"/>
      <c r="M333" s="695"/>
      <c r="N333" s="695"/>
      <c r="O333" s="695"/>
      <c r="P333" s="695"/>
      <c r="Q333" s="695"/>
      <c r="R333" s="695"/>
      <c r="S333" s="695"/>
      <c r="T333" s="674">
        <f>T328</f>
        <v>-172.88297080875205</v>
      </c>
      <c r="U333" s="672"/>
      <c r="V333" s="672"/>
      <c r="W333" s="87" t="s">
        <v>21</v>
      </c>
      <c r="X333" s="672">
        <v>1000</v>
      </c>
      <c r="Y333" s="672"/>
      <c r="Z333" s="672"/>
      <c r="AA333" s="87" t="s">
        <v>21</v>
      </c>
      <c r="AB333" s="672">
        <f>O301/2</f>
        <v>150</v>
      </c>
      <c r="AC333" s="672"/>
      <c r="AD333" s="672"/>
    </row>
    <row r="334" spans="1:39" hidden="1" x14ac:dyDescent="0.35">
      <c r="A334" s="42"/>
      <c r="B334" s="42"/>
      <c r="C334" s="42"/>
      <c r="T334" s="102">
        <v>1</v>
      </c>
      <c r="U334" s="36" t="s">
        <v>21</v>
      </c>
      <c r="V334" s="670">
        <v>1000</v>
      </c>
      <c r="W334" s="670"/>
      <c r="X334" s="670"/>
      <c r="Y334" s="36" t="s">
        <v>21</v>
      </c>
      <c r="Z334" s="670">
        <f>O301</f>
        <v>300</v>
      </c>
      <c r="AA334" s="670"/>
      <c r="AB334" s="670"/>
      <c r="AC334" s="51">
        <v>2</v>
      </c>
      <c r="AD334" s="89"/>
    </row>
    <row r="335" spans="1:39" hidden="1" x14ac:dyDescent="0.35">
      <c r="A335" s="42"/>
      <c r="B335" s="42"/>
      <c r="C335" s="42"/>
      <c r="T335" s="36">
        <v>6</v>
      </c>
      <c r="AD335" s="89"/>
    </row>
    <row r="336" spans="1:39" hidden="1" x14ac:dyDescent="0.35">
      <c r="A336" s="42"/>
      <c r="B336" s="42"/>
      <c r="C336" s="42"/>
      <c r="S336" s="36" t="s">
        <v>0</v>
      </c>
      <c r="T336" s="682">
        <f>(T333*X333*AB333)/((T334/T335)*V334*Z334^2)</f>
        <v>-1.7288297080875206</v>
      </c>
      <c r="U336" s="682"/>
      <c r="V336" s="682"/>
      <c r="W336" s="695" t="s">
        <v>63</v>
      </c>
      <c r="X336" s="695"/>
      <c r="Y336" s="695"/>
      <c r="AD336" s="89"/>
    </row>
    <row r="337" spans="1:72" hidden="1" x14ac:dyDescent="0.35">
      <c r="A337" s="42"/>
      <c r="B337" s="42"/>
      <c r="C337" s="42"/>
      <c r="T337" s="111"/>
      <c r="U337" s="111"/>
      <c r="V337" s="111"/>
      <c r="AD337" s="89"/>
    </row>
    <row r="338" spans="1:72" x14ac:dyDescent="0.35">
      <c r="A338" s="42"/>
      <c r="B338" s="42"/>
      <c r="C338" s="42"/>
      <c r="T338" s="111"/>
      <c r="U338" s="111"/>
      <c r="V338" s="111"/>
      <c r="AD338" s="89"/>
    </row>
    <row r="339" spans="1:72" s="502" customFormat="1" x14ac:dyDescent="0.35">
      <c r="A339" s="500"/>
      <c r="B339" s="500"/>
      <c r="C339" s="500"/>
      <c r="T339" s="506"/>
      <c r="U339" s="506"/>
      <c r="V339" s="506"/>
      <c r="AD339" s="504"/>
    </row>
    <row r="340" spans="1:72" s="528" customFormat="1" x14ac:dyDescent="0.35">
      <c r="A340" s="526"/>
      <c r="B340" s="526"/>
      <c r="C340" s="526"/>
      <c r="T340" s="531"/>
      <c r="U340" s="531"/>
      <c r="V340" s="531"/>
      <c r="AD340" s="529"/>
    </row>
    <row r="341" spans="1:72" s="502" customFormat="1" x14ac:dyDescent="0.35">
      <c r="A341" s="500"/>
      <c r="B341" s="500"/>
      <c r="C341" s="500"/>
      <c r="T341" s="506"/>
      <c r="U341" s="506"/>
      <c r="V341" s="506"/>
      <c r="AD341" s="504"/>
    </row>
    <row r="342" spans="1:72" x14ac:dyDescent="0.35">
      <c r="A342" s="42"/>
      <c r="B342" s="72">
        <v>4</v>
      </c>
      <c r="C342" s="233" t="s">
        <v>386</v>
      </c>
    </row>
    <row r="343" spans="1:72" ht="6" customHeight="1" x14ac:dyDescent="0.35">
      <c r="A343" s="42"/>
      <c r="B343" s="72"/>
      <c r="C343" s="42"/>
      <c r="H343" s="73"/>
    </row>
    <row r="344" spans="1:72" s="214" customFormat="1" ht="0.75" customHeight="1" x14ac:dyDescent="0.35">
      <c r="A344" s="215"/>
      <c r="B344" s="72"/>
      <c r="C344" s="215"/>
      <c r="H344" s="73"/>
    </row>
    <row r="345" spans="1:72" s="165" customFormat="1" x14ac:dyDescent="0.35">
      <c r="A345" s="42"/>
      <c r="B345" s="42"/>
      <c r="C345" s="233" t="s">
        <v>391</v>
      </c>
      <c r="D345" s="36"/>
      <c r="E345" s="36"/>
      <c r="G345" s="36"/>
      <c r="H345" s="36"/>
      <c r="I345" s="36"/>
      <c r="J345" s="36"/>
      <c r="K345" s="36"/>
      <c r="L345" s="36"/>
      <c r="M345" s="36"/>
      <c r="N345" s="36"/>
      <c r="O345" s="36"/>
      <c r="P345" s="36"/>
      <c r="Q345" s="36"/>
      <c r="R345" s="36"/>
      <c r="S345" s="36"/>
      <c r="T345" s="36"/>
      <c r="U345" s="36"/>
      <c r="V345" s="36"/>
      <c r="W345" s="36"/>
      <c r="X345" s="36"/>
      <c r="Y345" s="36"/>
      <c r="Z345" s="36"/>
      <c r="AA345" s="36"/>
      <c r="AB345" s="36"/>
      <c r="AC345" s="36"/>
      <c r="AD345" s="36"/>
      <c r="AE345" s="36"/>
      <c r="AF345" s="36"/>
      <c r="AG345" s="36"/>
      <c r="AH345" s="36"/>
      <c r="AI345" s="36"/>
      <c r="AJ345" s="36"/>
      <c r="AK345" s="36"/>
      <c r="AL345" s="36"/>
      <c r="AM345" s="36"/>
      <c r="AN345" s="36"/>
      <c r="AO345" s="36"/>
      <c r="AP345" s="36"/>
      <c r="AQ345" s="36"/>
    </row>
    <row r="346" spans="1:72" s="165" customFormat="1" ht="9.75" customHeight="1" x14ac:dyDescent="0.35">
      <c r="A346" s="42"/>
      <c r="B346" s="42"/>
      <c r="C346" s="42"/>
      <c r="D346" s="36"/>
      <c r="E346" s="36"/>
      <c r="F346" s="37"/>
      <c r="G346" s="36"/>
      <c r="H346" s="36"/>
      <c r="I346" s="36"/>
      <c r="J346" s="36"/>
      <c r="K346" s="36"/>
      <c r="L346" s="36"/>
      <c r="M346" s="36"/>
      <c r="N346" s="36"/>
      <c r="O346" s="36"/>
      <c r="P346" s="36"/>
      <c r="Q346" s="36"/>
      <c r="R346" s="36"/>
      <c r="S346" s="36"/>
      <c r="T346" s="36"/>
      <c r="U346" s="36"/>
      <c r="V346" s="36"/>
      <c r="W346" s="36"/>
      <c r="X346" s="36"/>
      <c r="Y346" s="36"/>
      <c r="Z346" s="36"/>
      <c r="AA346" s="36"/>
      <c r="AB346" s="36"/>
      <c r="AC346" s="36"/>
      <c r="AD346" s="36"/>
      <c r="AE346" s="36"/>
      <c r="AF346" s="36"/>
      <c r="AG346" s="36"/>
      <c r="AH346" s="36"/>
      <c r="AI346" s="36"/>
      <c r="AJ346" s="36"/>
      <c r="AK346" s="36"/>
      <c r="AL346" s="36"/>
      <c r="AM346" s="36"/>
      <c r="AN346" s="36"/>
      <c r="AO346" s="36"/>
      <c r="AP346" s="36"/>
      <c r="AQ346" s="36"/>
    </row>
    <row r="347" spans="1:72" s="165" customFormat="1" ht="16.5" x14ac:dyDescent="0.35">
      <c r="A347" s="162"/>
      <c r="B347" s="162"/>
      <c r="C347" s="181" t="s">
        <v>388</v>
      </c>
      <c r="F347" s="37"/>
      <c r="P347" s="165" t="s">
        <v>0</v>
      </c>
      <c r="Q347" s="568">
        <v>1</v>
      </c>
      <c r="R347" s="158" t="s">
        <v>434</v>
      </c>
      <c r="S347" s="569"/>
      <c r="T347" s="569"/>
      <c r="U347" s="569"/>
      <c r="V347" s="569" t="s">
        <v>25</v>
      </c>
      <c r="W347" s="568">
        <v>1</v>
      </c>
      <c r="X347" s="158" t="s">
        <v>556</v>
      </c>
      <c r="Y347" s="569"/>
      <c r="Z347" s="569"/>
      <c r="AA347" s="569"/>
      <c r="AB347" s="569"/>
      <c r="AC347" s="569"/>
      <c r="AD347" s="569"/>
      <c r="AE347" s="569"/>
      <c r="AF347" s="569"/>
      <c r="AG347" s="569"/>
      <c r="AI347" s="165" t="s">
        <v>0</v>
      </c>
      <c r="AJ347" s="686">
        <f>((1/6)*U32*U70*G104^3)*J231+IF(W146=0,0,((U32*U70*1.2*G104*0.5)*J232))</f>
        <v>71.21532971735752</v>
      </c>
      <c r="AK347" s="686"/>
      <c r="AL347" s="686"/>
      <c r="AM347" s="158" t="s">
        <v>11</v>
      </c>
      <c r="AS347" s="165" t="s">
        <v>405</v>
      </c>
      <c r="AU347" s="686">
        <f>((1/6)*U32*U70*G104^3)*P231+IF(W146=0,0,((U32*U70*1.2*G104*0.5)*P232))</f>
        <v>47.476886478238349</v>
      </c>
      <c r="AV347" s="686"/>
      <c r="AW347" s="686"/>
      <c r="AX347" s="686"/>
      <c r="AY347" s="686"/>
      <c r="AZ347" s="686"/>
      <c r="BB347" s="158" t="s">
        <v>406</v>
      </c>
    </row>
    <row r="348" spans="1:72" s="165" customFormat="1" x14ac:dyDescent="0.35">
      <c r="A348" s="162"/>
      <c r="B348" s="162"/>
      <c r="C348" s="213" t="s">
        <v>389</v>
      </c>
      <c r="F348" s="37"/>
      <c r="Q348" s="569">
        <v>6</v>
      </c>
      <c r="R348" s="569"/>
      <c r="S348" s="569"/>
      <c r="T348" s="569"/>
      <c r="U348" s="569"/>
      <c r="V348" s="569"/>
      <c r="W348" s="569">
        <v>2</v>
      </c>
      <c r="X348" s="569"/>
      <c r="Y348" s="569"/>
      <c r="Z348" s="569"/>
      <c r="AA348" s="569"/>
      <c r="AB348" s="569"/>
      <c r="AC348" s="569"/>
      <c r="AD348" s="569"/>
      <c r="AE348" s="569"/>
      <c r="AF348" s="569"/>
      <c r="AG348" s="569"/>
      <c r="AS348" s="423" t="s">
        <v>405</v>
      </c>
      <c r="AT348" s="423"/>
      <c r="AU348" s="686">
        <f>((1/6)*U32*U70*G104^3)*V231</f>
        <v>38.227203876694198</v>
      </c>
      <c r="AV348" s="686"/>
      <c r="AW348" s="686"/>
      <c r="AX348" s="686"/>
      <c r="AY348" s="686"/>
      <c r="AZ348" s="686"/>
      <c r="BA348" s="423"/>
      <c r="BB348" s="158" t="s">
        <v>407</v>
      </c>
      <c r="BC348" s="423"/>
      <c r="BD348" s="423"/>
      <c r="BE348" s="423"/>
      <c r="BF348" s="423"/>
      <c r="BG348" s="423"/>
      <c r="BH348" s="423"/>
      <c r="BI348" s="423"/>
    </row>
    <row r="349" spans="1:72" s="165" customFormat="1" ht="5.25" customHeight="1" x14ac:dyDescent="0.35">
      <c r="A349" s="162"/>
      <c r="B349" s="162"/>
      <c r="C349" s="162"/>
      <c r="F349" s="37"/>
      <c r="Q349" s="569"/>
      <c r="R349" s="569"/>
      <c r="S349" s="569"/>
      <c r="T349" s="569"/>
      <c r="U349" s="569"/>
      <c r="V349" s="569"/>
      <c r="W349" s="569"/>
      <c r="X349" s="569"/>
      <c r="Y349" s="569"/>
      <c r="Z349" s="569"/>
      <c r="AA349" s="569"/>
      <c r="AB349" s="569"/>
      <c r="AC349" s="569"/>
      <c r="AD349" s="569"/>
      <c r="AE349" s="569"/>
      <c r="AF349" s="569"/>
      <c r="AG349" s="569"/>
    </row>
    <row r="350" spans="1:72" s="165" customFormat="1" ht="17" x14ac:dyDescent="0.35">
      <c r="A350" s="162"/>
      <c r="B350" s="162"/>
      <c r="F350" s="37"/>
      <c r="N350" s="208" t="s">
        <v>390</v>
      </c>
      <c r="P350" s="165" t="s">
        <v>0</v>
      </c>
      <c r="Q350" s="158" t="s">
        <v>555</v>
      </c>
      <c r="AA350" s="165" t="s">
        <v>25</v>
      </c>
      <c r="AC350" s="160">
        <v>1</v>
      </c>
      <c r="AD350" s="158" t="s">
        <v>443</v>
      </c>
      <c r="AI350" s="165" t="s">
        <v>0</v>
      </c>
      <c r="AJ350" s="686">
        <f>(IF(W146=0,0,(U32*U70*1.2*G104))*J232)+(0.5*U32*U70*G104^2)*J231</f>
        <v>77.61061807858141</v>
      </c>
      <c r="AK350" s="686"/>
      <c r="AL350" s="686"/>
      <c r="AM350" s="158" t="s">
        <v>12</v>
      </c>
    </row>
    <row r="351" spans="1:72" s="424" customFormat="1" x14ac:dyDescent="0.35">
      <c r="A351" s="431"/>
      <c r="B351" s="431"/>
      <c r="F351" s="37"/>
      <c r="N351" s="208"/>
      <c r="Q351" s="158"/>
      <c r="AC351" s="165">
        <v>2</v>
      </c>
      <c r="AD351" s="158"/>
      <c r="AM351" s="158"/>
    </row>
    <row r="352" spans="1:72" s="165" customFormat="1" ht="3" customHeight="1" x14ac:dyDescent="0.3">
      <c r="A352" s="162"/>
      <c r="B352" s="162"/>
      <c r="C352" s="162"/>
      <c r="F352" s="37"/>
      <c r="T352" s="802"/>
      <c r="U352" s="802"/>
      <c r="V352" s="802"/>
      <c r="W352" s="449"/>
      <c r="X352" s="424"/>
      <c r="Y352" s="424"/>
      <c r="BH352" s="389"/>
      <c r="BI352" s="389"/>
      <c r="BJ352" s="389"/>
      <c r="BK352" s="389"/>
      <c r="BL352" s="389"/>
      <c r="BM352" s="389"/>
      <c r="BN352" s="389"/>
      <c r="BO352" s="389"/>
      <c r="BP352" s="389"/>
      <c r="BQ352" s="389"/>
      <c r="BR352" s="389"/>
      <c r="BS352" s="389"/>
      <c r="BT352" s="424"/>
    </row>
    <row r="353" spans="1:72" s="424" customFormat="1" ht="7.5" customHeight="1" x14ac:dyDescent="0.3">
      <c r="A353" s="431"/>
      <c r="B353" s="431"/>
      <c r="C353" s="431"/>
      <c r="F353" s="37"/>
      <c r="BH353" s="389"/>
      <c r="BI353" s="389"/>
      <c r="BJ353" s="389"/>
      <c r="BK353" s="389"/>
      <c r="BL353" s="389"/>
      <c r="BM353" s="389"/>
      <c r="BN353" s="389"/>
      <c r="BO353" s="389"/>
      <c r="BP353" s="389"/>
      <c r="BQ353" s="389"/>
      <c r="BR353" s="389"/>
      <c r="BS353" s="389"/>
    </row>
    <row r="354" spans="1:72" s="424" customFormat="1" ht="6.75" customHeight="1" x14ac:dyDescent="0.3">
      <c r="A354" s="431"/>
      <c r="B354" s="431"/>
      <c r="C354" s="431"/>
      <c r="F354" s="37"/>
      <c r="BH354" s="389"/>
      <c r="BI354" s="389"/>
      <c r="BJ354" s="389"/>
      <c r="BK354" s="389"/>
      <c r="BL354" s="389"/>
      <c r="BM354" s="389"/>
      <c r="BN354" s="389"/>
      <c r="BO354" s="389"/>
      <c r="BP354" s="389"/>
      <c r="BQ354" s="389"/>
      <c r="BR354" s="389"/>
      <c r="BS354" s="389"/>
    </row>
    <row r="355" spans="1:72" s="424" customFormat="1" x14ac:dyDescent="0.3">
      <c r="A355" s="431"/>
      <c r="B355" s="431"/>
      <c r="C355" s="431"/>
      <c r="F355" s="37"/>
      <c r="BH355" s="389"/>
      <c r="BI355" s="389"/>
      <c r="BJ355" s="389"/>
      <c r="BK355" s="389"/>
      <c r="BL355" s="389"/>
      <c r="BM355" s="389"/>
      <c r="BN355" s="389"/>
      <c r="BO355" s="389"/>
      <c r="BP355" s="389"/>
      <c r="BQ355" s="389"/>
      <c r="BR355" s="389"/>
      <c r="BS355" s="389"/>
    </row>
    <row r="356" spans="1:72" s="424" customFormat="1" x14ac:dyDescent="0.3">
      <c r="A356" s="431"/>
      <c r="B356" s="431"/>
      <c r="C356" s="431"/>
      <c r="F356" s="37"/>
      <c r="BH356" s="389"/>
      <c r="BI356" s="389"/>
      <c r="BJ356" s="389"/>
      <c r="BK356" s="389"/>
      <c r="BL356" s="389"/>
      <c r="BM356" s="389"/>
      <c r="BN356" s="389"/>
      <c r="BO356" s="389"/>
      <c r="BP356" s="389"/>
      <c r="BQ356" s="389"/>
      <c r="BR356" s="389"/>
      <c r="BS356" s="389"/>
    </row>
    <row r="357" spans="1:72" s="424" customFormat="1" x14ac:dyDescent="0.3">
      <c r="A357" s="431"/>
      <c r="B357" s="431"/>
      <c r="C357" s="431"/>
      <c r="F357" s="37"/>
      <c r="X357" s="291" t="s">
        <v>174</v>
      </c>
      <c r="BH357" s="389"/>
      <c r="BI357" s="389"/>
      <c r="BJ357" s="389"/>
      <c r="BK357" s="389"/>
      <c r="BL357" s="389"/>
      <c r="BM357" s="389"/>
      <c r="BN357" s="389"/>
      <c r="BO357" s="389"/>
      <c r="BP357" s="389"/>
      <c r="BQ357" s="389"/>
      <c r="BR357" s="389"/>
      <c r="BS357" s="389"/>
    </row>
    <row r="358" spans="1:72" s="424" customFormat="1" x14ac:dyDescent="0.3">
      <c r="A358" s="431"/>
      <c r="B358" s="431"/>
      <c r="C358" s="431"/>
      <c r="F358" s="37"/>
      <c r="AY358" s="695">
        <f>(0.5*U32*U70*G104^2*G104*0.42)*J231+IF(W146=0,0,((U32*U70*1.2*G104*0.5)*J232))</f>
        <v>86.12393922926826</v>
      </c>
      <c r="AZ358" s="695"/>
      <c r="BA358" s="695"/>
      <c r="BB358" s="695"/>
      <c r="BH358" s="389"/>
      <c r="BI358" s="389"/>
      <c r="BJ358" s="389"/>
      <c r="BK358" s="389"/>
      <c r="BL358" s="389"/>
      <c r="BM358" s="389"/>
      <c r="BO358" s="389"/>
      <c r="BP358" s="389"/>
      <c r="BQ358" s="389"/>
      <c r="BR358" s="389"/>
      <c r="BS358" s="389"/>
    </row>
    <row r="359" spans="1:72" s="424" customFormat="1" x14ac:dyDescent="0.3">
      <c r="A359" s="431"/>
      <c r="B359" s="431"/>
      <c r="C359" s="431"/>
      <c r="F359" s="37"/>
      <c r="AY359" s="695"/>
      <c r="AZ359" s="695"/>
      <c r="BA359" s="695"/>
      <c r="BB359" s="695"/>
      <c r="BH359" s="389"/>
      <c r="BI359" s="389"/>
      <c r="BJ359" s="389"/>
      <c r="BK359" s="389"/>
      <c r="BL359" s="389"/>
      <c r="BM359" s="389"/>
      <c r="BN359" s="389"/>
      <c r="BO359" s="389"/>
      <c r="BP359" s="389"/>
      <c r="BQ359" s="389"/>
      <c r="BR359" s="389"/>
      <c r="BS359" s="389"/>
    </row>
    <row r="360" spans="1:72" s="424" customFormat="1" x14ac:dyDescent="0.3">
      <c r="A360" s="431"/>
      <c r="B360" s="431"/>
      <c r="C360" s="431"/>
      <c r="F360" s="37"/>
      <c r="BH360" s="389"/>
      <c r="BI360" s="389"/>
      <c r="BJ360" s="389"/>
      <c r="BK360" s="389"/>
      <c r="BL360" s="389"/>
      <c r="BM360" s="389"/>
      <c r="BN360" s="389"/>
      <c r="BO360" s="389"/>
      <c r="BP360" s="389"/>
      <c r="BQ360" s="389"/>
      <c r="BR360" s="389"/>
      <c r="BS360" s="389"/>
    </row>
    <row r="361" spans="1:72" s="424" customFormat="1" ht="15.5" x14ac:dyDescent="0.3">
      <c r="A361" s="431"/>
      <c r="B361" s="431"/>
      <c r="C361" s="431"/>
      <c r="F361" s="37"/>
      <c r="Y361" s="802">
        <f>L131*J231</f>
        <v>67.026685518435883</v>
      </c>
      <c r="Z361" s="802"/>
      <c r="AA361" s="802"/>
      <c r="AB361" s="449" t="s">
        <v>454</v>
      </c>
      <c r="BH361" s="389"/>
      <c r="BI361" s="389"/>
      <c r="BJ361" s="389"/>
      <c r="BK361" s="389"/>
      <c r="BL361" s="389"/>
      <c r="BM361" s="389"/>
      <c r="BN361" s="389"/>
      <c r="BO361" s="389"/>
      <c r="BP361" s="389"/>
      <c r="BQ361" s="389"/>
      <c r="BR361" s="389"/>
      <c r="BS361" s="389"/>
    </row>
    <row r="362" spans="1:72" s="424" customFormat="1" x14ac:dyDescent="0.3">
      <c r="A362" s="431"/>
      <c r="B362" s="431"/>
      <c r="C362" s="431"/>
      <c r="F362" s="37"/>
      <c r="Q362" s="364" t="s">
        <v>483</v>
      </c>
      <c r="BH362" s="389"/>
      <c r="BI362" s="389"/>
      <c r="BJ362" s="389"/>
      <c r="BK362" s="389"/>
      <c r="BL362" s="389"/>
      <c r="BM362" s="389"/>
      <c r="BN362" s="389"/>
      <c r="BO362" s="389"/>
      <c r="BP362" s="389"/>
      <c r="BQ362" s="389"/>
      <c r="BR362" s="389"/>
      <c r="BS362" s="389"/>
    </row>
    <row r="363" spans="1:72" s="165" customFormat="1" x14ac:dyDescent="0.3">
      <c r="A363" s="162"/>
      <c r="B363" s="162"/>
      <c r="C363" s="342" t="s">
        <v>459</v>
      </c>
      <c r="F363" s="37"/>
      <c r="BH363" s="389"/>
      <c r="BI363" s="389"/>
      <c r="BJ363" s="389"/>
      <c r="BK363" s="389"/>
      <c r="BL363" s="389"/>
      <c r="BM363" s="389"/>
      <c r="BN363" s="389"/>
      <c r="BO363" s="389"/>
      <c r="BP363" s="389"/>
      <c r="BQ363" s="389"/>
      <c r="BR363" s="389"/>
      <c r="BS363" s="389"/>
      <c r="BT363" s="424"/>
    </row>
    <row r="364" spans="1:72" s="165" customFormat="1" x14ac:dyDescent="0.3">
      <c r="A364" s="42"/>
      <c r="B364" s="42"/>
      <c r="C364" s="785" t="s">
        <v>38</v>
      </c>
      <c r="D364" s="785"/>
      <c r="E364" s="721" t="s">
        <v>200</v>
      </c>
      <c r="F364" s="722"/>
      <c r="G364" s="722"/>
      <c r="H364" s="722"/>
      <c r="I364" s="722"/>
      <c r="J364" s="722"/>
      <c r="K364" s="722"/>
      <c r="L364" s="722"/>
      <c r="M364" s="722"/>
      <c r="N364" s="722"/>
      <c r="O364" s="722"/>
      <c r="P364" s="722"/>
      <c r="Q364" s="722"/>
      <c r="R364" s="722"/>
      <c r="S364" s="722"/>
      <c r="T364" s="722"/>
      <c r="U364" s="722"/>
      <c r="V364" s="722"/>
      <c r="W364" s="722"/>
      <c r="X364" s="722"/>
      <c r="Y364" s="722"/>
      <c r="Z364" s="722"/>
      <c r="AA364" s="722"/>
      <c r="AB364" s="722"/>
      <c r="AC364" s="722"/>
      <c r="AD364" s="722"/>
      <c r="AE364" s="722"/>
      <c r="AF364" s="722"/>
      <c r="AG364" s="722"/>
      <c r="AH364" s="722"/>
      <c r="AI364" s="722"/>
      <c r="AJ364" s="722"/>
      <c r="AK364" s="722"/>
      <c r="AL364" s="723"/>
      <c r="AQ364" s="36"/>
      <c r="AU364" s="695">
        <f>IF(U44=415,(0.48*AB369),(0.46*AB369))</f>
        <v>192.74</v>
      </c>
      <c r="AV364" s="695"/>
      <c r="AW364" s="695"/>
      <c r="AX364" s="695"/>
      <c r="AY364" s="695"/>
      <c r="BH364" s="389"/>
      <c r="BI364" s="389"/>
      <c r="BK364" s="389"/>
      <c r="BL364" s="389"/>
      <c r="BM364" s="389"/>
      <c r="BN364" s="389"/>
      <c r="BO364" s="389"/>
      <c r="BP364" s="389"/>
      <c r="BQ364" s="389"/>
      <c r="BR364" s="389"/>
      <c r="BS364" s="389"/>
      <c r="BT364" s="424"/>
    </row>
    <row r="365" spans="1:72" s="165" customFormat="1" x14ac:dyDescent="0.35">
      <c r="A365" s="42"/>
      <c r="B365" s="42"/>
      <c r="C365" s="785"/>
      <c r="D365" s="785"/>
      <c r="E365" s="724"/>
      <c r="F365" s="725"/>
      <c r="G365" s="725"/>
      <c r="H365" s="725"/>
      <c r="I365" s="725"/>
      <c r="J365" s="725"/>
      <c r="K365" s="725"/>
      <c r="L365" s="725"/>
      <c r="M365" s="725"/>
      <c r="N365" s="725"/>
      <c r="O365" s="725"/>
      <c r="P365" s="725"/>
      <c r="Q365" s="725"/>
      <c r="R365" s="725"/>
      <c r="S365" s="725"/>
      <c r="T365" s="725"/>
      <c r="U365" s="725"/>
      <c r="V365" s="725"/>
      <c r="W365" s="725"/>
      <c r="X365" s="725"/>
      <c r="Y365" s="725"/>
      <c r="Z365" s="725"/>
      <c r="AA365" s="725"/>
      <c r="AB365" s="725"/>
      <c r="AC365" s="725"/>
      <c r="AD365" s="725"/>
      <c r="AE365" s="725"/>
      <c r="AF365" s="725"/>
      <c r="AG365" s="725"/>
      <c r="AH365" s="725"/>
      <c r="AI365" s="725"/>
      <c r="AJ365" s="725"/>
      <c r="AK365" s="725"/>
      <c r="AL365" s="726"/>
      <c r="AQ365" s="36"/>
    </row>
    <row r="366" spans="1:72" s="165" customFormat="1" x14ac:dyDescent="0.3">
      <c r="A366" s="42"/>
      <c r="B366" s="42"/>
      <c r="C366" s="768">
        <v>1</v>
      </c>
      <c r="D366" s="769"/>
      <c r="E366" s="166" t="s">
        <v>193</v>
      </c>
      <c r="F366" s="166"/>
      <c r="G366" s="166"/>
      <c r="H366" s="166"/>
      <c r="I366" s="166"/>
      <c r="J366" s="183"/>
      <c r="K366" s="183"/>
      <c r="L366" s="183"/>
      <c r="M366" s="166"/>
      <c r="N366" s="163"/>
      <c r="O366" s="163"/>
      <c r="P366" s="163"/>
      <c r="Q366" s="163"/>
      <c r="R366" s="163"/>
      <c r="S366" s="163"/>
      <c r="T366" s="163"/>
      <c r="U366" s="163"/>
      <c r="V366" s="163"/>
      <c r="W366" s="163"/>
      <c r="X366" s="163"/>
      <c r="Y366" s="163"/>
      <c r="Z366" s="163"/>
      <c r="AA366" s="108"/>
      <c r="AB366" s="773">
        <f>(0.36*U43*1000*U65*AB369*(AB369-0.416*U65*AB369))/10^6</f>
        <v>724.5541870397675</v>
      </c>
      <c r="AC366" s="774"/>
      <c r="AD366" s="774"/>
      <c r="AE366" s="670" t="s">
        <v>11</v>
      </c>
      <c r="AF366" s="670"/>
      <c r="AG366" s="670"/>
      <c r="AH366" s="794" t="str">
        <f>IF(AB366&gt;AJ347,"Safe","Hence Unsafe")</f>
        <v>Safe</v>
      </c>
      <c r="AI366" s="794"/>
      <c r="AJ366" s="794"/>
      <c r="AK366" s="794"/>
      <c r="AL366" s="795"/>
      <c r="AQ366" s="36"/>
      <c r="AU366" s="695">
        <f>(0.36*U43*((IF(U44=415,(0.48*AB369),(0.46*AB369))))*(1-(0.416*(IF(U44=415,(0.48*AB369),(0.46*AB369)))))*1000*((T113*1000)^2))/1000000</f>
        <v>-34337525.313600004</v>
      </c>
      <c r="AV366" s="695"/>
      <c r="AW366" s="695"/>
      <c r="AX366" s="695"/>
    </row>
    <row r="367" spans="1:72" s="165" customFormat="1" ht="17" x14ac:dyDescent="0.45">
      <c r="A367" s="42"/>
      <c r="B367" s="42"/>
      <c r="C367" s="770"/>
      <c r="D367" s="771"/>
      <c r="E367" s="94" t="s">
        <v>208</v>
      </c>
      <c r="F367" s="160"/>
      <c r="G367" s="160"/>
      <c r="H367" s="160"/>
      <c r="I367" s="160"/>
      <c r="J367" s="160"/>
      <c r="K367" s="160"/>
      <c r="L367" s="160"/>
      <c r="M367" s="160"/>
      <c r="N367" s="160"/>
      <c r="O367" s="160"/>
      <c r="P367" s="160"/>
      <c r="Q367" s="160"/>
      <c r="R367" s="160"/>
      <c r="S367" s="160"/>
      <c r="T367" s="160"/>
      <c r="U367" s="160"/>
      <c r="V367" s="160"/>
      <c r="W367" s="160"/>
      <c r="X367" s="160"/>
      <c r="Y367" s="160"/>
      <c r="Z367" s="160"/>
      <c r="AA367" s="161"/>
      <c r="AB367" s="732"/>
      <c r="AC367" s="733"/>
      <c r="AD367" s="733"/>
      <c r="AE367" s="672"/>
      <c r="AF367" s="672"/>
      <c r="AG367" s="672"/>
      <c r="AH367" s="700"/>
      <c r="AI367" s="700"/>
      <c r="AJ367" s="700"/>
      <c r="AK367" s="700"/>
      <c r="AL367" s="701"/>
      <c r="AQ367" s="36"/>
    </row>
    <row r="368" spans="1:72" s="165" customFormat="1" ht="14.5" x14ac:dyDescent="0.35">
      <c r="A368" s="42"/>
      <c r="B368" s="42"/>
      <c r="C368" s="783">
        <v>2</v>
      </c>
      <c r="D368" s="784"/>
      <c r="E368" s="184" t="s">
        <v>194</v>
      </c>
      <c r="F368" s="184"/>
      <c r="G368" s="184"/>
      <c r="H368" s="184"/>
      <c r="I368" s="184"/>
      <c r="J368" s="184"/>
      <c r="K368" s="184"/>
      <c r="L368" s="184"/>
      <c r="M368" s="184"/>
      <c r="N368" s="184"/>
      <c r="O368" s="210" t="s">
        <v>209</v>
      </c>
      <c r="P368" s="164"/>
      <c r="Q368" s="184"/>
      <c r="R368" s="184"/>
      <c r="S368" s="144"/>
      <c r="T368" s="144"/>
      <c r="U368" s="164"/>
      <c r="V368" s="143"/>
      <c r="W368" s="144"/>
      <c r="X368" s="144"/>
      <c r="Y368" s="185"/>
      <c r="Z368" s="164"/>
      <c r="AA368" s="168"/>
      <c r="AB368" s="775">
        <f>((AJ347*10^6)/(0.15*U43*1000))^0.5</f>
        <v>137.80694681798641</v>
      </c>
      <c r="AC368" s="776"/>
      <c r="AD368" s="776"/>
      <c r="AE368" s="729" t="s">
        <v>2</v>
      </c>
      <c r="AF368" s="729"/>
      <c r="AG368" s="729"/>
      <c r="AH368" s="164"/>
      <c r="AI368" s="186"/>
      <c r="AJ368" s="186"/>
      <c r="AK368" s="186"/>
      <c r="AL368" s="187"/>
      <c r="AQ368" s="36"/>
    </row>
    <row r="369" spans="1:69" s="165" customFormat="1" x14ac:dyDescent="0.3">
      <c r="A369" s="42"/>
      <c r="B369" s="42"/>
      <c r="C369" s="783">
        <v>3</v>
      </c>
      <c r="D369" s="784"/>
      <c r="E369" s="184" t="s">
        <v>195</v>
      </c>
      <c r="F369" s="164"/>
      <c r="G369" s="164"/>
      <c r="H369" s="164"/>
      <c r="I369" s="164"/>
      <c r="J369" s="164"/>
      <c r="K369" s="164"/>
      <c r="L369" s="164"/>
      <c r="M369" s="164"/>
      <c r="N369" s="164"/>
      <c r="O369" s="164"/>
      <c r="P369" s="164"/>
      <c r="Q369" s="164"/>
      <c r="R369" s="164"/>
      <c r="S369" s="164"/>
      <c r="T369" s="164"/>
      <c r="U369" s="164"/>
      <c r="V369" s="144"/>
      <c r="W369" s="144"/>
      <c r="X369" s="144"/>
      <c r="Y369" s="164"/>
      <c r="Z369" s="164"/>
      <c r="AA369" s="168"/>
      <c r="AB369" s="775">
        <f>(T113*1000)-F81-(M375/2)</f>
        <v>419</v>
      </c>
      <c r="AC369" s="776"/>
      <c r="AD369" s="776"/>
      <c r="AE369" s="729" t="s">
        <v>2</v>
      </c>
      <c r="AF369" s="729"/>
      <c r="AG369" s="729"/>
      <c r="AH369" s="906" t="str">
        <f>IF(AB369&gt;AB368,"Safe","Hence Unsafe")</f>
        <v>Safe</v>
      </c>
      <c r="AI369" s="906"/>
      <c r="AJ369" s="906"/>
      <c r="AK369" s="906"/>
      <c r="AL369" s="907"/>
      <c r="AQ369" s="36"/>
    </row>
    <row r="370" spans="1:69" s="165" customFormat="1" x14ac:dyDescent="0.35">
      <c r="A370" s="42"/>
      <c r="B370" s="42"/>
      <c r="C370" s="768">
        <v>4</v>
      </c>
      <c r="D370" s="769"/>
      <c r="E370" s="188" t="s">
        <v>196</v>
      </c>
      <c r="F370" s="128"/>
      <c r="G370" s="128"/>
      <c r="H370" s="128"/>
      <c r="I370" s="128"/>
      <c r="J370" s="163"/>
      <c r="K370" s="163"/>
      <c r="L370" s="163"/>
      <c r="M370" s="163"/>
      <c r="N370" s="163"/>
      <c r="O370" s="128"/>
      <c r="P370" s="128"/>
      <c r="Q370" s="128"/>
      <c r="R370" s="128"/>
      <c r="S370" s="163"/>
      <c r="T370" s="163"/>
      <c r="U370" s="163"/>
      <c r="V370" s="189"/>
      <c r="W370" s="189"/>
      <c r="X370" s="189"/>
      <c r="Y370" s="189"/>
      <c r="Z370" s="189"/>
      <c r="AA370" s="108"/>
      <c r="AB370" s="773">
        <f>((0.5*U43)/U44)*(1-SQRT(1-((4.6*AJ347*10^6)/(U43*1000*AB369^2))))*1000*AB369</f>
        <v>398.49951210719757</v>
      </c>
      <c r="AC370" s="774"/>
      <c r="AD370" s="774"/>
      <c r="AE370" s="670" t="s">
        <v>199</v>
      </c>
      <c r="AF370" s="670"/>
      <c r="AG370" s="670"/>
      <c r="AH370" s="163"/>
      <c r="AI370" s="190"/>
      <c r="AJ370" s="190"/>
      <c r="AK370" s="163"/>
      <c r="AL370" s="108"/>
      <c r="AQ370" s="36"/>
      <c r="BB370" s="86"/>
      <c r="BC370" s="86"/>
      <c r="BD370" s="86"/>
      <c r="BE370" s="86"/>
      <c r="BF370" s="86"/>
      <c r="BG370" s="86"/>
      <c r="BH370" s="86"/>
      <c r="BI370" s="86"/>
      <c r="BJ370" s="86"/>
      <c r="BK370" s="86"/>
      <c r="BL370" s="86"/>
      <c r="BM370" s="86"/>
      <c r="BN370" s="86"/>
      <c r="BO370" s="86"/>
      <c r="BP370" s="86"/>
      <c r="BQ370" s="86"/>
    </row>
    <row r="371" spans="1:69" s="165" customFormat="1" x14ac:dyDescent="0.35">
      <c r="A371" s="42"/>
      <c r="B371" s="42"/>
      <c r="C371" s="770"/>
      <c r="D371" s="771"/>
      <c r="E371" s="180"/>
      <c r="F371" s="123"/>
      <c r="G371" s="123"/>
      <c r="H371" s="123"/>
      <c r="I371" s="123"/>
      <c r="J371" s="160"/>
      <c r="K371" s="160"/>
      <c r="L371" s="160"/>
      <c r="M371" s="160"/>
      <c r="N371" s="160"/>
      <c r="O371" s="160"/>
      <c r="P371" s="160"/>
      <c r="Q371" s="160"/>
      <c r="R371" s="160"/>
      <c r="S371" s="160"/>
      <c r="T371" s="160"/>
      <c r="U371" s="160"/>
      <c r="V371" s="160"/>
      <c r="W371" s="160"/>
      <c r="X371" s="160"/>
      <c r="Y371" s="160"/>
      <c r="Z371" s="160"/>
      <c r="AA371" s="161"/>
      <c r="AB371" s="732"/>
      <c r="AC371" s="733"/>
      <c r="AD371" s="733"/>
      <c r="AE371" s="672"/>
      <c r="AF371" s="672"/>
      <c r="AG371" s="672"/>
      <c r="AH371" s="191"/>
      <c r="AI371" s="191"/>
      <c r="AJ371" s="191"/>
      <c r="AK371" s="160"/>
      <c r="AL371" s="161"/>
      <c r="AQ371" s="36"/>
      <c r="BM371" s="695"/>
      <c r="BN371" s="695"/>
      <c r="BO371" s="695"/>
      <c r="BP371" s="695"/>
      <c r="BQ371" s="695"/>
    </row>
    <row r="372" spans="1:69" s="165" customFormat="1" x14ac:dyDescent="0.35">
      <c r="A372" s="42"/>
      <c r="B372" s="42"/>
      <c r="C372" s="768">
        <v>5</v>
      </c>
      <c r="D372" s="769"/>
      <c r="E372" s="159" t="s">
        <v>197</v>
      </c>
      <c r="F372" s="163"/>
      <c r="G372" s="163"/>
      <c r="H372" s="163"/>
      <c r="I372" s="163"/>
      <c r="J372" s="163"/>
      <c r="K372" s="163"/>
      <c r="L372" s="163"/>
      <c r="M372" s="163"/>
      <c r="N372" s="163"/>
      <c r="O372" s="192"/>
      <c r="P372" s="192"/>
      <c r="Q372" s="192"/>
      <c r="R372" s="192"/>
      <c r="S372" s="192"/>
      <c r="T372" s="128"/>
      <c r="U372" s="128"/>
      <c r="V372" s="128"/>
      <c r="W372" s="163"/>
      <c r="X372" s="163"/>
      <c r="Y372" s="163"/>
      <c r="Z372" s="163"/>
      <c r="AA372" s="108"/>
      <c r="AB372" s="773">
        <f>MAX((0.26*(U54/U45)*1000*AB369),(0.0013*1000*AB369))</f>
        <v>544.70000000000005</v>
      </c>
      <c r="AC372" s="774"/>
      <c r="AD372" s="774"/>
      <c r="AE372" s="670" t="s">
        <v>199</v>
      </c>
      <c r="AF372" s="670"/>
      <c r="AG372" s="670"/>
      <c r="AH372" s="163"/>
      <c r="AI372" s="163"/>
      <c r="AJ372" s="163"/>
      <c r="AK372" s="163"/>
      <c r="AL372" s="108"/>
      <c r="AQ372" s="36"/>
    </row>
    <row r="373" spans="1:69" s="165" customFormat="1" x14ac:dyDescent="0.35">
      <c r="A373" s="42"/>
      <c r="B373" s="42"/>
      <c r="C373" s="770"/>
      <c r="D373" s="771"/>
      <c r="E373" s="193" t="s">
        <v>198</v>
      </c>
      <c r="F373" s="160"/>
      <c r="G373" s="160"/>
      <c r="H373" s="160"/>
      <c r="I373" s="160"/>
      <c r="J373" s="160"/>
      <c r="K373" s="160"/>
      <c r="L373" s="160"/>
      <c r="M373" s="160"/>
      <c r="N373" s="160"/>
      <c r="O373" s="160"/>
      <c r="P373" s="160"/>
      <c r="Q373" s="160"/>
      <c r="R373" s="160"/>
      <c r="S373" s="160"/>
      <c r="T373" s="160"/>
      <c r="U373" s="160"/>
      <c r="V373" s="160"/>
      <c r="W373" s="160"/>
      <c r="X373" s="160"/>
      <c r="Y373" s="160"/>
      <c r="Z373" s="160"/>
      <c r="AA373" s="194"/>
      <c r="AB373" s="732"/>
      <c r="AC373" s="733"/>
      <c r="AD373" s="733"/>
      <c r="AE373" s="672"/>
      <c r="AF373" s="672"/>
      <c r="AG373" s="672"/>
      <c r="AH373" s="160"/>
      <c r="AI373" s="160"/>
      <c r="AJ373" s="160"/>
      <c r="AK373" s="160"/>
      <c r="AL373" s="161"/>
      <c r="AQ373" s="36"/>
    </row>
    <row r="374" spans="1:69" s="165" customFormat="1" x14ac:dyDescent="0.35">
      <c r="A374" s="42"/>
      <c r="B374" s="42"/>
      <c r="C374" s="768">
        <v>6</v>
      </c>
      <c r="D374" s="769"/>
      <c r="E374" s="159" t="s">
        <v>204</v>
      </c>
      <c r="F374" s="163"/>
      <c r="G374" s="163"/>
      <c r="H374" s="163"/>
      <c r="I374" s="163"/>
      <c r="J374" s="163"/>
      <c r="K374" s="163"/>
      <c r="L374" s="163"/>
      <c r="M374" s="163"/>
      <c r="N374" s="163"/>
      <c r="O374" s="163"/>
      <c r="P374" s="163"/>
      <c r="Q374" s="163"/>
      <c r="R374" s="163"/>
      <c r="S374" s="163"/>
      <c r="T374" s="163"/>
      <c r="U374" s="163"/>
      <c r="V374" s="163"/>
      <c r="W374" s="163"/>
      <c r="X374" s="163"/>
      <c r="Y374" s="163"/>
      <c r="Z374" s="163"/>
      <c r="AA374" s="108"/>
      <c r="AB374" s="106"/>
      <c r="AC374" s="163"/>
      <c r="AD374" s="163"/>
      <c r="AE374" s="163"/>
      <c r="AF374" s="163"/>
      <c r="AG374" s="163"/>
      <c r="AH374" s="163"/>
      <c r="AI374" s="163"/>
      <c r="AJ374" s="163"/>
      <c r="AK374" s="163"/>
      <c r="AL374" s="108"/>
      <c r="AM374" s="162"/>
      <c r="AQ374" s="36"/>
    </row>
    <row r="375" spans="1:69" s="165" customFormat="1" x14ac:dyDescent="0.35">
      <c r="A375" s="42"/>
      <c r="B375" s="42"/>
      <c r="C375" s="904"/>
      <c r="D375" s="905"/>
      <c r="E375" s="179" t="s">
        <v>202</v>
      </c>
      <c r="F375" s="154"/>
      <c r="G375" s="154"/>
      <c r="H375" s="154" t="s">
        <v>23</v>
      </c>
      <c r="I375" s="154"/>
      <c r="J375" s="154"/>
      <c r="K375" s="154"/>
      <c r="L375" s="162"/>
      <c r="M375" s="760">
        <v>12</v>
      </c>
      <c r="N375" s="760"/>
      <c r="O375" s="171" t="s">
        <v>201</v>
      </c>
      <c r="P375" s="789">
        <v>100</v>
      </c>
      <c r="Q375" s="789"/>
      <c r="R375" s="789"/>
      <c r="S375" s="789"/>
      <c r="T375" s="789"/>
      <c r="U375" s="789"/>
      <c r="V375" s="789"/>
      <c r="W375" s="154"/>
      <c r="X375" s="176"/>
      <c r="Y375" s="162"/>
      <c r="Z375" s="162"/>
      <c r="AA375" s="124"/>
      <c r="AB375" s="731">
        <f>IF(M376=0,((PI()/4*M375^2)*(1000/P375)),(((PI()/4*M375^2)*(1000/P375))+((PI()/4*M376^2)*(1000/P376))))</f>
        <v>1130.9733552923256</v>
      </c>
      <c r="AC375" s="693"/>
      <c r="AD375" s="693"/>
      <c r="AE375" s="704" t="s">
        <v>199</v>
      </c>
      <c r="AF375" s="704"/>
      <c r="AG375" s="704"/>
      <c r="AH375" s="698" t="str">
        <f>IF(AB375&gt;MAX(AB370:AD373),"Safe","Hence Unsafe")</f>
        <v>Safe</v>
      </c>
      <c r="AI375" s="698"/>
      <c r="AJ375" s="698"/>
      <c r="AK375" s="698"/>
      <c r="AL375" s="699"/>
      <c r="AM375" s="182"/>
      <c r="AQ375" s="36"/>
      <c r="AS375" s="695">
        <f>((PI()/4*M375^2)*(1000/P375))</f>
        <v>1130.9733552923256</v>
      </c>
      <c r="AT375" s="695"/>
      <c r="AU375" s="695"/>
      <c r="AV375" s="695"/>
    </row>
    <row r="376" spans="1:69" s="165" customFormat="1" x14ac:dyDescent="0.35">
      <c r="A376" s="42"/>
      <c r="B376" s="42"/>
      <c r="C376" s="770"/>
      <c r="D376" s="771"/>
      <c r="E376" s="180" t="s">
        <v>203</v>
      </c>
      <c r="F376" s="123"/>
      <c r="G376" s="123"/>
      <c r="H376" s="123" t="s">
        <v>23</v>
      </c>
      <c r="I376" s="123"/>
      <c r="J376" s="123"/>
      <c r="K376" s="123"/>
      <c r="L376" s="160"/>
      <c r="M376" s="762">
        <v>0</v>
      </c>
      <c r="N376" s="762"/>
      <c r="O376" s="170" t="s">
        <v>201</v>
      </c>
      <c r="P376" s="730">
        <v>0</v>
      </c>
      <c r="Q376" s="730"/>
      <c r="R376" s="730"/>
      <c r="S376" s="730"/>
      <c r="T376" s="730"/>
      <c r="U376" s="730"/>
      <c r="V376" s="730"/>
      <c r="W376" s="123"/>
      <c r="X376" s="123"/>
      <c r="Y376" s="160"/>
      <c r="Z376" s="160"/>
      <c r="AA376" s="161"/>
      <c r="AB376" s="732"/>
      <c r="AC376" s="733"/>
      <c r="AD376" s="733"/>
      <c r="AE376" s="672"/>
      <c r="AF376" s="672"/>
      <c r="AG376" s="672"/>
      <c r="AH376" s="700"/>
      <c r="AI376" s="700"/>
      <c r="AJ376" s="700"/>
      <c r="AK376" s="700"/>
      <c r="AL376" s="701"/>
      <c r="AM376" s="182"/>
      <c r="AQ376" s="36"/>
      <c r="AS376" s="695" t="e">
        <f>((PI()/4*M376^2)*(1000/P376))</f>
        <v>#DIV/0!</v>
      </c>
      <c r="AT376" s="695"/>
      <c r="AU376" s="695"/>
      <c r="AV376" s="695"/>
    </row>
    <row r="377" spans="1:69" s="165" customFormat="1" x14ac:dyDescent="0.35">
      <c r="A377" s="42"/>
      <c r="B377" s="42"/>
      <c r="C377" s="768">
        <v>7</v>
      </c>
      <c r="D377" s="769"/>
      <c r="E377" s="748" t="s">
        <v>205</v>
      </c>
      <c r="F377" s="749"/>
      <c r="G377" s="749"/>
      <c r="H377" s="749"/>
      <c r="I377" s="749"/>
      <c r="J377" s="749"/>
      <c r="K377" s="749"/>
      <c r="L377" s="749"/>
      <c r="M377" s="749"/>
      <c r="N377" s="749"/>
      <c r="O377" s="749"/>
      <c r="P377" s="749"/>
      <c r="Q377" s="749"/>
      <c r="R377" s="749"/>
      <c r="S377" s="749"/>
      <c r="T377" s="749"/>
      <c r="U377" s="749"/>
      <c r="V377" s="749"/>
      <c r="W377" s="749"/>
      <c r="X377" s="749"/>
      <c r="Y377" s="749"/>
      <c r="Z377" s="749"/>
      <c r="AA377" s="750"/>
      <c r="AB377" s="106"/>
      <c r="AC377" s="163"/>
      <c r="AD377" s="163"/>
      <c r="AE377" s="163"/>
      <c r="AF377" s="163"/>
      <c r="AG377" s="163"/>
      <c r="AH377" s="163"/>
      <c r="AI377" s="163"/>
      <c r="AJ377" s="163"/>
      <c r="AK377" s="163"/>
      <c r="AL377" s="108"/>
      <c r="AM377" s="162"/>
      <c r="AQ377" s="36"/>
    </row>
    <row r="378" spans="1:69" s="165" customFormat="1" ht="16" x14ac:dyDescent="0.35">
      <c r="A378" s="42"/>
      <c r="B378" s="42"/>
      <c r="C378" s="770"/>
      <c r="D378" s="771"/>
      <c r="E378" s="180" t="s">
        <v>207</v>
      </c>
      <c r="F378" s="123"/>
      <c r="G378" s="123"/>
      <c r="H378" s="123"/>
      <c r="I378" s="123"/>
      <c r="J378" s="123"/>
      <c r="K378" s="123"/>
      <c r="L378" s="160"/>
      <c r="M378" s="160"/>
      <c r="N378" s="160"/>
      <c r="O378" s="160"/>
      <c r="P378" s="160" t="s">
        <v>0</v>
      </c>
      <c r="Q378" s="762">
        <v>8</v>
      </c>
      <c r="R378" s="762"/>
      <c r="S378" s="170" t="s">
        <v>201</v>
      </c>
      <c r="T378" s="730">
        <v>200</v>
      </c>
      <c r="U378" s="730"/>
      <c r="V378" s="730"/>
      <c r="W378" s="730"/>
      <c r="X378" s="730"/>
      <c r="Y378" s="730"/>
      <c r="Z378" s="730"/>
      <c r="AA378" s="161"/>
      <c r="AB378" s="732">
        <f>((PI()/4*Q378^2)*(1000/T378))</f>
        <v>251.32741228718345</v>
      </c>
      <c r="AC378" s="733"/>
      <c r="AD378" s="733"/>
      <c r="AE378" s="672" t="s">
        <v>199</v>
      </c>
      <c r="AF378" s="672"/>
      <c r="AG378" s="672"/>
      <c r="AH378" s="700" t="str">
        <f>IF(AB378&gt;(20%*AB375),"Safe","Hence Unsafe")</f>
        <v>Safe</v>
      </c>
      <c r="AI378" s="700"/>
      <c r="AJ378" s="700"/>
      <c r="AK378" s="700"/>
      <c r="AL378" s="701"/>
      <c r="AM378" s="162"/>
      <c r="AQ378" s="36"/>
    </row>
    <row r="379" spans="1:69" s="165" customFormat="1" ht="3.75" customHeight="1" x14ac:dyDescent="0.35">
      <c r="A379" s="42"/>
      <c r="B379" s="42"/>
      <c r="C379" s="162"/>
      <c r="F379" s="37"/>
      <c r="H379" s="162"/>
      <c r="I379" s="162"/>
      <c r="J379" s="162"/>
      <c r="K379" s="162"/>
      <c r="L379" s="162"/>
      <c r="M379" s="162"/>
      <c r="N379" s="154"/>
      <c r="O379" s="154"/>
      <c r="P379" s="154"/>
      <c r="Q379" s="162"/>
      <c r="R379" s="154"/>
      <c r="S379" s="154"/>
      <c r="T379" s="162" t="s">
        <v>553</v>
      </c>
      <c r="U379" s="162"/>
      <c r="V379" s="162"/>
      <c r="W379" s="162"/>
      <c r="X379" s="162"/>
      <c r="Y379" s="162"/>
      <c r="Z379" s="162"/>
      <c r="AA379" s="162"/>
      <c r="AB379" s="162"/>
      <c r="AC379" s="162"/>
      <c r="AD379" s="162"/>
      <c r="AE379" s="162"/>
      <c r="AF379" s="162"/>
      <c r="AG379" s="162"/>
      <c r="AH379" s="162"/>
      <c r="AI379" s="162"/>
      <c r="AJ379" s="162"/>
      <c r="AK379" s="162"/>
      <c r="AL379" s="162"/>
      <c r="AM379" s="162"/>
      <c r="AQ379" s="36"/>
    </row>
    <row r="380" spans="1:69" s="165" customFormat="1" ht="3" customHeight="1" x14ac:dyDescent="0.35">
      <c r="A380" s="42"/>
      <c r="B380" s="42"/>
      <c r="C380" s="162"/>
      <c r="H380" s="162"/>
      <c r="I380" s="162"/>
      <c r="J380" s="162"/>
      <c r="K380" s="162"/>
      <c r="L380" s="162"/>
      <c r="M380" s="162"/>
      <c r="X380" s="162"/>
      <c r="Y380" s="162"/>
      <c r="Z380" s="162"/>
      <c r="AA380" s="162"/>
      <c r="AB380" s="162"/>
      <c r="AC380" s="162"/>
      <c r="AD380" s="162"/>
      <c r="AE380" s="162"/>
      <c r="AF380" s="162"/>
      <c r="AM380" s="162"/>
      <c r="AQ380" s="36"/>
    </row>
    <row r="381" spans="1:69" s="165" customFormat="1" x14ac:dyDescent="0.3">
      <c r="A381" s="42"/>
      <c r="B381" s="42"/>
      <c r="C381" s="181" t="s">
        <v>370</v>
      </c>
      <c r="P381" s="803">
        <v>0</v>
      </c>
      <c r="Q381" s="803"/>
      <c r="R381" s="803"/>
      <c r="S381" s="181" t="s">
        <v>206</v>
      </c>
      <c r="X381" s="177" t="s">
        <v>0</v>
      </c>
      <c r="Y381" s="808" t="str">
        <f>IF(P381=0,"--",(((1/6)*U31*U70*(G104-P381)^3)*J231)+(IF(W146=0,0,((0.5*U31*U70*1.2*(G104-P381)^2)*J232))))</f>
        <v>--</v>
      </c>
      <c r="Z381" s="808"/>
      <c r="AA381" s="808"/>
      <c r="AB381" s="808"/>
      <c r="AC381" s="97" t="s">
        <v>11</v>
      </c>
      <c r="AD381" s="122"/>
      <c r="AE381" s="122"/>
      <c r="AF381" s="167"/>
      <c r="AM381" s="178"/>
      <c r="AN381" s="176"/>
      <c r="AQ381" s="36"/>
    </row>
    <row r="382" spans="1:69" s="165" customFormat="1" x14ac:dyDescent="0.3">
      <c r="A382" s="162"/>
      <c r="B382" s="162"/>
      <c r="C382" s="342" t="s">
        <v>460</v>
      </c>
      <c r="H382" s="162"/>
      <c r="I382" s="162"/>
      <c r="J382" s="162"/>
      <c r="K382" s="162"/>
      <c r="L382" s="162"/>
      <c r="M382" s="122"/>
      <c r="N382" s="122"/>
      <c r="O382" s="167"/>
      <c r="P382" s="177"/>
      <c r="R382" s="177"/>
      <c r="S382" s="80"/>
      <c r="T382" s="178"/>
      <c r="U382" s="178"/>
      <c r="V382" s="178"/>
      <c r="W382" s="176"/>
      <c r="X382" s="66"/>
      <c r="Y382" s="66"/>
      <c r="Z382" s="66"/>
      <c r="AA382" s="162"/>
      <c r="AB382" s="162"/>
      <c r="AC382" s="162"/>
      <c r="AD382" s="162"/>
      <c r="AE382" s="162"/>
      <c r="AF382" s="162"/>
      <c r="AG382" s="162"/>
      <c r="AH382" s="162"/>
      <c r="AI382" s="162"/>
      <c r="AJ382" s="162"/>
      <c r="AK382" s="162"/>
      <c r="AL382" s="162"/>
      <c r="AM382" s="162"/>
    </row>
    <row r="383" spans="1:69" s="165" customFormat="1" x14ac:dyDescent="0.35">
      <c r="A383" s="162"/>
      <c r="B383" s="162"/>
      <c r="C383" s="785" t="s">
        <v>38</v>
      </c>
      <c r="D383" s="785"/>
      <c r="E383" s="721" t="s">
        <v>200</v>
      </c>
      <c r="F383" s="722"/>
      <c r="G383" s="722"/>
      <c r="H383" s="722"/>
      <c r="I383" s="722"/>
      <c r="J383" s="722"/>
      <c r="K383" s="722"/>
      <c r="L383" s="722"/>
      <c r="M383" s="722"/>
      <c r="N383" s="722"/>
      <c r="O383" s="722"/>
      <c r="P383" s="722"/>
      <c r="Q383" s="722"/>
      <c r="R383" s="722"/>
      <c r="S383" s="722"/>
      <c r="T383" s="722"/>
      <c r="U383" s="722"/>
      <c r="V383" s="722"/>
      <c r="W383" s="722"/>
      <c r="X383" s="722"/>
      <c r="Y383" s="722"/>
      <c r="Z383" s="722"/>
      <c r="AA383" s="722"/>
      <c r="AB383" s="722"/>
      <c r="AC383" s="722"/>
      <c r="AD383" s="722"/>
      <c r="AE383" s="722"/>
      <c r="AF383" s="722"/>
      <c r="AG383" s="722"/>
      <c r="AH383" s="722"/>
      <c r="AI383" s="722"/>
      <c r="AJ383" s="722"/>
      <c r="AK383" s="722"/>
      <c r="AL383" s="723"/>
      <c r="AM383" s="162"/>
    </row>
    <row r="384" spans="1:69" s="165" customFormat="1" x14ac:dyDescent="0.35">
      <c r="A384" s="162"/>
      <c r="B384" s="162"/>
      <c r="C384" s="785"/>
      <c r="D384" s="785"/>
      <c r="E384" s="724"/>
      <c r="F384" s="725"/>
      <c r="G384" s="725"/>
      <c r="H384" s="725"/>
      <c r="I384" s="725"/>
      <c r="J384" s="725"/>
      <c r="K384" s="725"/>
      <c r="L384" s="725"/>
      <c r="M384" s="725"/>
      <c r="N384" s="725"/>
      <c r="O384" s="725"/>
      <c r="P384" s="725"/>
      <c r="Q384" s="725"/>
      <c r="R384" s="725"/>
      <c r="S384" s="725"/>
      <c r="T384" s="725"/>
      <c r="U384" s="725"/>
      <c r="V384" s="725"/>
      <c r="W384" s="725"/>
      <c r="X384" s="725"/>
      <c r="Y384" s="725"/>
      <c r="Z384" s="725"/>
      <c r="AA384" s="725"/>
      <c r="AB384" s="725"/>
      <c r="AC384" s="725"/>
      <c r="AD384" s="725"/>
      <c r="AE384" s="725"/>
      <c r="AF384" s="725"/>
      <c r="AG384" s="725"/>
      <c r="AH384" s="725"/>
      <c r="AI384" s="725"/>
      <c r="AJ384" s="725"/>
      <c r="AK384" s="725"/>
      <c r="AL384" s="726"/>
      <c r="AM384" s="162"/>
    </row>
    <row r="385" spans="1:51" s="165" customFormat="1" x14ac:dyDescent="0.3">
      <c r="A385" s="162"/>
      <c r="B385" s="162"/>
      <c r="C385" s="768">
        <v>1</v>
      </c>
      <c r="D385" s="769"/>
      <c r="E385" s="166" t="s">
        <v>193</v>
      </c>
      <c r="F385" s="166"/>
      <c r="G385" s="166"/>
      <c r="H385" s="166"/>
      <c r="I385" s="166"/>
      <c r="J385" s="183"/>
      <c r="K385" s="183"/>
      <c r="L385" s="183"/>
      <c r="M385" s="166"/>
      <c r="N385" s="163"/>
      <c r="O385" s="163"/>
      <c r="P385" s="163"/>
      <c r="Q385" s="163"/>
      <c r="R385" s="163"/>
      <c r="S385" s="163"/>
      <c r="T385" s="163"/>
      <c r="U385" s="163"/>
      <c r="V385" s="163"/>
      <c r="W385" s="163"/>
      <c r="X385" s="163"/>
      <c r="Y385" s="163"/>
      <c r="Z385" s="163"/>
      <c r="AA385" s="108"/>
      <c r="AB385" s="773" t="str">
        <f>IF(P381=0,"--",(0.36*U43*1000*U65*AB388*(AB388-0.416*U65*AB388))/10^6)</f>
        <v>--</v>
      </c>
      <c r="AC385" s="774"/>
      <c r="AD385" s="774"/>
      <c r="AE385" s="670" t="s">
        <v>11</v>
      </c>
      <c r="AF385" s="670"/>
      <c r="AG385" s="670"/>
      <c r="AH385" s="794" t="str">
        <f>IF(P381=0,"--",IF(AB385&gt;AJ377,"Safe","Hence Unsafe"))</f>
        <v>--</v>
      </c>
      <c r="AI385" s="794"/>
      <c r="AJ385" s="794"/>
      <c r="AK385" s="794"/>
      <c r="AL385" s="795"/>
      <c r="AM385" s="162"/>
    </row>
    <row r="386" spans="1:51" s="165" customFormat="1" ht="17" x14ac:dyDescent="0.45">
      <c r="A386" s="162"/>
      <c r="B386" s="162"/>
      <c r="C386" s="770"/>
      <c r="D386" s="771"/>
      <c r="E386" s="94" t="s">
        <v>208</v>
      </c>
      <c r="F386" s="160"/>
      <c r="G386" s="160"/>
      <c r="H386" s="160"/>
      <c r="I386" s="160"/>
      <c r="J386" s="160"/>
      <c r="K386" s="160"/>
      <c r="L386" s="160"/>
      <c r="M386" s="160"/>
      <c r="N386" s="160"/>
      <c r="O386" s="160"/>
      <c r="P386" s="160"/>
      <c r="Q386" s="160"/>
      <c r="R386" s="160"/>
      <c r="S386" s="160"/>
      <c r="T386" s="160"/>
      <c r="U386" s="160"/>
      <c r="V386" s="160"/>
      <c r="W386" s="160"/>
      <c r="X386" s="160"/>
      <c r="Y386" s="160"/>
      <c r="Z386" s="160"/>
      <c r="AA386" s="161"/>
      <c r="AB386" s="732"/>
      <c r="AC386" s="733"/>
      <c r="AD386" s="733"/>
      <c r="AE386" s="672"/>
      <c r="AF386" s="672"/>
      <c r="AG386" s="672"/>
      <c r="AH386" s="700"/>
      <c r="AI386" s="700"/>
      <c r="AJ386" s="700"/>
      <c r="AK386" s="700"/>
      <c r="AL386" s="701"/>
      <c r="AM386" s="162"/>
      <c r="AW386" s="695">
        <f>((((T113-T98)/G104)*(G104-P381)+T98)*1000)</f>
        <v>500</v>
      </c>
      <c r="AX386" s="695"/>
      <c r="AY386" s="695"/>
    </row>
    <row r="387" spans="1:51" s="165" customFormat="1" ht="14.5" x14ac:dyDescent="0.35">
      <c r="A387" s="162"/>
      <c r="B387" s="162"/>
      <c r="C387" s="783">
        <v>2</v>
      </c>
      <c r="D387" s="784"/>
      <c r="E387" s="184" t="s">
        <v>194</v>
      </c>
      <c r="F387" s="184"/>
      <c r="G387" s="184"/>
      <c r="H387" s="184"/>
      <c r="I387" s="184"/>
      <c r="J387" s="184"/>
      <c r="K387" s="184"/>
      <c r="L387" s="184"/>
      <c r="M387" s="184"/>
      <c r="N387" s="184"/>
      <c r="O387" s="210" t="s">
        <v>209</v>
      </c>
      <c r="P387" s="164"/>
      <c r="Q387" s="184"/>
      <c r="R387" s="184"/>
      <c r="S387" s="144"/>
      <c r="T387" s="144"/>
      <c r="U387" s="164"/>
      <c r="V387" s="143"/>
      <c r="W387" s="144"/>
      <c r="X387" s="144"/>
      <c r="Y387" s="185"/>
      <c r="Z387" s="164"/>
      <c r="AA387" s="168"/>
      <c r="AB387" s="775" t="str">
        <f>IF(P381=0,"--",((Y381*10^6)/(0.15*U43*1000))^0.5)</f>
        <v>--</v>
      </c>
      <c r="AC387" s="776"/>
      <c r="AD387" s="776"/>
      <c r="AE387" s="729" t="s">
        <v>2</v>
      </c>
      <c r="AF387" s="729"/>
      <c r="AG387" s="729"/>
      <c r="AH387" s="164"/>
      <c r="AI387" s="186"/>
      <c r="AJ387" s="186"/>
      <c r="AK387" s="186"/>
      <c r="AL387" s="187"/>
      <c r="AM387" s="162"/>
    </row>
    <row r="388" spans="1:51" s="165" customFormat="1" x14ac:dyDescent="0.3">
      <c r="A388" s="162"/>
      <c r="B388" s="162"/>
      <c r="C388" s="783">
        <v>3</v>
      </c>
      <c r="D388" s="784"/>
      <c r="E388" s="184" t="s">
        <v>195</v>
      </c>
      <c r="F388" s="164"/>
      <c r="G388" s="164"/>
      <c r="H388" s="164"/>
      <c r="I388" s="164"/>
      <c r="J388" s="164"/>
      <c r="K388" s="164"/>
      <c r="L388" s="164"/>
      <c r="M388" s="164"/>
      <c r="N388" s="164"/>
      <c r="O388" s="164"/>
      <c r="P388" s="164"/>
      <c r="Q388" s="164"/>
      <c r="R388" s="164"/>
      <c r="S388" s="164"/>
      <c r="T388" s="164"/>
      <c r="U388" s="164"/>
      <c r="V388" s="144"/>
      <c r="W388" s="144"/>
      <c r="X388" s="144"/>
      <c r="Y388" s="164"/>
      <c r="Z388" s="164"/>
      <c r="AA388" s="168"/>
      <c r="AB388" s="775" t="str">
        <f>IF(P381=0,"--",((((T113-T98)/G104)*(G104-P381)+T98)*1000)-F81-(M394/2))</f>
        <v>--</v>
      </c>
      <c r="AC388" s="776"/>
      <c r="AD388" s="776"/>
      <c r="AE388" s="729" t="s">
        <v>2</v>
      </c>
      <c r="AF388" s="729"/>
      <c r="AG388" s="729"/>
      <c r="AH388" s="906" t="str">
        <f>IF(P381=0,"--",IF(AB388&gt;AB387,"Safe","Hence Unsafe"))</f>
        <v>--</v>
      </c>
      <c r="AI388" s="906"/>
      <c r="AJ388" s="906"/>
      <c r="AK388" s="906"/>
      <c r="AL388" s="907"/>
      <c r="AM388" s="162"/>
      <c r="AT388" s="695">
        <f>((((T113-T98)/G104)*(G104-P381)+T98)*1000)-F81-(M394/2)</f>
        <v>425</v>
      </c>
      <c r="AU388" s="695"/>
      <c r="AV388" s="695"/>
      <c r="AW388" s="695"/>
      <c r="AX388" s="695"/>
      <c r="AY388" s="158" t="s">
        <v>2</v>
      </c>
    </row>
    <row r="389" spans="1:51" s="165" customFormat="1" x14ac:dyDescent="0.35">
      <c r="A389" s="162"/>
      <c r="B389" s="162"/>
      <c r="C389" s="768">
        <v>4</v>
      </c>
      <c r="D389" s="769"/>
      <c r="E389" s="188" t="s">
        <v>196</v>
      </c>
      <c r="F389" s="128"/>
      <c r="G389" s="128"/>
      <c r="H389" s="128"/>
      <c r="I389" s="128"/>
      <c r="J389" s="163"/>
      <c r="K389" s="163"/>
      <c r="L389" s="163"/>
      <c r="M389" s="163"/>
      <c r="N389" s="163"/>
      <c r="O389" s="128"/>
      <c r="P389" s="128"/>
      <c r="Q389" s="128"/>
      <c r="R389" s="128"/>
      <c r="S389" s="163"/>
      <c r="T389" s="163"/>
      <c r="U389" s="163"/>
      <c r="V389" s="189"/>
      <c r="W389" s="189"/>
      <c r="X389" s="189"/>
      <c r="Y389" s="189"/>
      <c r="Z389" s="189"/>
      <c r="AA389" s="108"/>
      <c r="AB389" s="773" t="str">
        <f>IF(P381=0,"--",((0.5*U43)/U44)*(1-SQRT(1-((4.6*Y381*10^6)/(U43*1000*AB388^2))))*1000*AB388)</f>
        <v>--</v>
      </c>
      <c r="AC389" s="774"/>
      <c r="AD389" s="774"/>
      <c r="AE389" s="670" t="s">
        <v>199</v>
      </c>
      <c r="AF389" s="670"/>
      <c r="AG389" s="670"/>
      <c r="AH389" s="163"/>
      <c r="AI389" s="190"/>
      <c r="AJ389" s="190"/>
      <c r="AK389" s="163"/>
      <c r="AL389" s="108"/>
      <c r="AM389" s="162"/>
    </row>
    <row r="390" spans="1:51" s="165" customFormat="1" x14ac:dyDescent="0.35">
      <c r="A390" s="162"/>
      <c r="B390" s="162"/>
      <c r="C390" s="770"/>
      <c r="D390" s="771"/>
      <c r="E390" s="180"/>
      <c r="F390" s="123"/>
      <c r="G390" s="123"/>
      <c r="H390" s="123"/>
      <c r="I390" s="123"/>
      <c r="J390" s="160"/>
      <c r="K390" s="160"/>
      <c r="L390" s="160"/>
      <c r="M390" s="160"/>
      <c r="N390" s="160"/>
      <c r="O390" s="160"/>
      <c r="P390" s="160"/>
      <c r="Q390" s="160"/>
      <c r="R390" s="160"/>
      <c r="S390" s="160"/>
      <c r="T390" s="160"/>
      <c r="U390" s="160"/>
      <c r="V390" s="160"/>
      <c r="W390" s="160"/>
      <c r="X390" s="160"/>
      <c r="Y390" s="160"/>
      <c r="Z390" s="160"/>
      <c r="AA390" s="161"/>
      <c r="AB390" s="732"/>
      <c r="AC390" s="733"/>
      <c r="AD390" s="733"/>
      <c r="AE390" s="672"/>
      <c r="AF390" s="672"/>
      <c r="AG390" s="672"/>
      <c r="AH390" s="191"/>
      <c r="AI390" s="191"/>
      <c r="AJ390" s="191"/>
      <c r="AK390" s="160"/>
      <c r="AL390" s="161"/>
      <c r="AM390" s="162"/>
    </row>
    <row r="391" spans="1:51" s="165" customFormat="1" x14ac:dyDescent="0.35">
      <c r="A391" s="162"/>
      <c r="B391" s="162"/>
      <c r="C391" s="768">
        <v>5</v>
      </c>
      <c r="D391" s="769"/>
      <c r="E391" s="159" t="s">
        <v>197</v>
      </c>
      <c r="F391" s="163"/>
      <c r="G391" s="163"/>
      <c r="H391" s="163"/>
      <c r="I391" s="163"/>
      <c r="J391" s="163"/>
      <c r="K391" s="163"/>
      <c r="L391" s="163"/>
      <c r="M391" s="163"/>
      <c r="N391" s="163"/>
      <c r="O391" s="192"/>
      <c r="P391" s="192"/>
      <c r="Q391" s="192"/>
      <c r="R391" s="192"/>
      <c r="S391" s="192"/>
      <c r="T391" s="128"/>
      <c r="U391" s="128"/>
      <c r="V391" s="128"/>
      <c r="W391" s="163"/>
      <c r="X391" s="163"/>
      <c r="Y391" s="163"/>
      <c r="Z391" s="163"/>
      <c r="AA391" s="108"/>
      <c r="AB391" s="773" t="str">
        <f>IF(P381=0,"-",MAX((0.26*(U54/U45)*1000*((((T113-T98)/G104)*(G104-P381)+T98)*1000)),(0.0013*1000*((((T113-T98)/G104)*(G104-P381)+T98)*1000))))</f>
        <v>-</v>
      </c>
      <c r="AC391" s="774"/>
      <c r="AD391" s="774"/>
      <c r="AE391" s="670" t="s">
        <v>199</v>
      </c>
      <c r="AF391" s="670"/>
      <c r="AG391" s="670"/>
      <c r="AH391" s="163"/>
      <c r="AI391" s="163"/>
      <c r="AJ391" s="163"/>
      <c r="AK391" s="163"/>
      <c r="AL391" s="108"/>
      <c r="AM391" s="162"/>
    </row>
    <row r="392" spans="1:51" s="165" customFormat="1" x14ac:dyDescent="0.35">
      <c r="A392" s="162"/>
      <c r="B392" s="162"/>
      <c r="C392" s="770"/>
      <c r="D392" s="771"/>
      <c r="E392" s="193" t="s">
        <v>198</v>
      </c>
      <c r="F392" s="160"/>
      <c r="G392" s="160"/>
      <c r="H392" s="160"/>
      <c r="I392" s="160"/>
      <c r="J392" s="160"/>
      <c r="K392" s="160"/>
      <c r="L392" s="160"/>
      <c r="M392" s="160"/>
      <c r="N392" s="160"/>
      <c r="O392" s="160"/>
      <c r="P392" s="160"/>
      <c r="Q392" s="160"/>
      <c r="R392" s="160"/>
      <c r="S392" s="160"/>
      <c r="T392" s="160"/>
      <c r="U392" s="160"/>
      <c r="V392" s="160"/>
      <c r="W392" s="160"/>
      <c r="X392" s="160"/>
      <c r="Y392" s="160"/>
      <c r="Z392" s="160"/>
      <c r="AA392" s="194"/>
      <c r="AB392" s="732"/>
      <c r="AC392" s="733"/>
      <c r="AD392" s="733"/>
      <c r="AE392" s="672"/>
      <c r="AF392" s="672"/>
      <c r="AG392" s="672"/>
      <c r="AH392" s="160"/>
      <c r="AI392" s="160"/>
      <c r="AJ392" s="160"/>
      <c r="AK392" s="160"/>
      <c r="AL392" s="161"/>
      <c r="AM392" s="162"/>
    </row>
    <row r="393" spans="1:51" s="165" customFormat="1" x14ac:dyDescent="0.35">
      <c r="A393" s="162"/>
      <c r="B393" s="162"/>
      <c r="C393" s="768">
        <v>6</v>
      </c>
      <c r="D393" s="769"/>
      <c r="E393" s="159" t="s">
        <v>204</v>
      </c>
      <c r="F393" s="163"/>
      <c r="G393" s="163"/>
      <c r="H393" s="163"/>
      <c r="I393" s="163"/>
      <c r="J393" s="163"/>
      <c r="K393" s="163"/>
      <c r="L393" s="163"/>
      <c r="M393" s="163"/>
      <c r="N393" s="163"/>
      <c r="O393" s="163"/>
      <c r="P393" s="163"/>
      <c r="Q393" s="163"/>
      <c r="R393" s="163"/>
      <c r="S393" s="163"/>
      <c r="T393" s="163"/>
      <c r="U393" s="163"/>
      <c r="V393" s="163"/>
      <c r="W393" s="163"/>
      <c r="X393" s="163"/>
      <c r="Y393" s="163"/>
      <c r="Z393" s="163"/>
      <c r="AA393" s="108"/>
      <c r="AB393" s="432" t="s">
        <v>475</v>
      </c>
      <c r="AC393" s="163"/>
      <c r="AD393" s="163"/>
      <c r="AE393" s="163"/>
      <c r="AF393" s="163"/>
      <c r="AG393" s="163"/>
      <c r="AH393" s="163"/>
      <c r="AI393" s="163"/>
      <c r="AJ393" s="163"/>
      <c r="AK393" s="163"/>
      <c r="AL393" s="108"/>
      <c r="AM393" s="162"/>
    </row>
    <row r="394" spans="1:51" s="165" customFormat="1" x14ac:dyDescent="0.35">
      <c r="A394" s="162"/>
      <c r="B394" s="162"/>
      <c r="C394" s="904"/>
      <c r="D394" s="905"/>
      <c r="E394" s="179" t="s">
        <v>202</v>
      </c>
      <c r="F394" s="154"/>
      <c r="G394" s="154"/>
      <c r="H394" s="154" t="s">
        <v>23</v>
      </c>
      <c r="I394" s="154"/>
      <c r="J394" s="154"/>
      <c r="K394" s="154"/>
      <c r="L394" s="162"/>
      <c r="M394" s="927">
        <f>M376</f>
        <v>0</v>
      </c>
      <c r="N394" s="927"/>
      <c r="O394" s="566" t="s">
        <v>201</v>
      </c>
      <c r="P394" s="928">
        <f>P376</f>
        <v>0</v>
      </c>
      <c r="Q394" s="928"/>
      <c r="R394" s="928"/>
      <c r="S394" s="928"/>
      <c r="T394" s="928"/>
      <c r="U394" s="928"/>
      <c r="V394" s="928"/>
      <c r="W394" s="154"/>
      <c r="X394" s="176"/>
      <c r="Y394" s="162"/>
      <c r="Z394" s="162"/>
      <c r="AA394" s="124"/>
      <c r="AB394" s="731">
        <f>IF(P381=0,0,IF(M395=0,((PI()/4*M394^2)*(1000/P394)),(((PI()/4*M394^2)*(1000/P394))+((PI()/4*M395^2)*(1000/P395)))))</f>
        <v>0</v>
      </c>
      <c r="AC394" s="693"/>
      <c r="AD394" s="693"/>
      <c r="AE394" s="704" t="s">
        <v>199</v>
      </c>
      <c r="AF394" s="704"/>
      <c r="AG394" s="704"/>
      <c r="AH394" s="698" t="str">
        <f>IF(P381=0,"--",IF(AB394&gt;MAX(AB389:AD392),"Safe","Hence Unsafe"))</f>
        <v>--</v>
      </c>
      <c r="AI394" s="698"/>
      <c r="AJ394" s="698"/>
      <c r="AK394" s="698"/>
      <c r="AL394" s="699"/>
      <c r="AM394" s="162"/>
      <c r="AS394" s="695" t="e">
        <f>((PI()/4*M394^2)*(1000/P394))</f>
        <v>#DIV/0!</v>
      </c>
      <c r="AT394" s="695"/>
      <c r="AU394" s="695"/>
      <c r="AV394" s="695"/>
    </row>
    <row r="395" spans="1:51" s="165" customFormat="1" hidden="1" x14ac:dyDescent="0.35">
      <c r="A395" s="162"/>
      <c r="B395" s="162"/>
      <c r="C395" s="770"/>
      <c r="D395" s="771"/>
      <c r="E395" s="180" t="s">
        <v>203</v>
      </c>
      <c r="F395" s="123"/>
      <c r="G395" s="123"/>
      <c r="H395" s="123" t="s">
        <v>23</v>
      </c>
      <c r="I395" s="123"/>
      <c r="J395" s="123"/>
      <c r="K395" s="123"/>
      <c r="L395" s="160"/>
      <c r="M395" s="762">
        <v>0</v>
      </c>
      <c r="N395" s="762"/>
      <c r="O395" s="170" t="s">
        <v>201</v>
      </c>
      <c r="P395" s="730">
        <v>0</v>
      </c>
      <c r="Q395" s="730"/>
      <c r="R395" s="730"/>
      <c r="S395" s="730"/>
      <c r="T395" s="730"/>
      <c r="U395" s="730"/>
      <c r="V395" s="730"/>
      <c r="W395" s="123"/>
      <c r="X395" s="123"/>
      <c r="Y395" s="160"/>
      <c r="Z395" s="160"/>
      <c r="AA395" s="161"/>
      <c r="AB395" s="732"/>
      <c r="AC395" s="733"/>
      <c r="AD395" s="733"/>
      <c r="AE395" s="672"/>
      <c r="AF395" s="672"/>
      <c r="AG395" s="672"/>
      <c r="AH395" s="700"/>
      <c r="AI395" s="700"/>
      <c r="AJ395" s="700"/>
      <c r="AK395" s="700"/>
      <c r="AL395" s="701"/>
      <c r="AM395" s="162"/>
      <c r="AS395" s="695" t="e">
        <f>((PI()/4*M395^2)*(1000/P395))</f>
        <v>#DIV/0!</v>
      </c>
      <c r="AT395" s="695"/>
      <c r="AU395" s="695"/>
      <c r="AV395" s="695"/>
    </row>
    <row r="396" spans="1:51" s="165" customFormat="1" x14ac:dyDescent="0.35">
      <c r="A396" s="162"/>
      <c r="B396" s="162"/>
      <c r="C396" s="768">
        <v>7</v>
      </c>
      <c r="D396" s="769"/>
      <c r="E396" s="748" t="s">
        <v>205</v>
      </c>
      <c r="F396" s="749"/>
      <c r="G396" s="749"/>
      <c r="H396" s="749"/>
      <c r="I396" s="749"/>
      <c r="J396" s="749"/>
      <c r="K396" s="749"/>
      <c r="L396" s="749"/>
      <c r="M396" s="749"/>
      <c r="N396" s="749"/>
      <c r="O396" s="749"/>
      <c r="P396" s="749"/>
      <c r="Q396" s="749"/>
      <c r="R396" s="749"/>
      <c r="S396" s="749"/>
      <c r="T396" s="749"/>
      <c r="U396" s="749"/>
      <c r="V396" s="749"/>
      <c r="W396" s="749"/>
      <c r="X396" s="749"/>
      <c r="Y396" s="749"/>
      <c r="Z396" s="749"/>
      <c r="AA396" s="750"/>
      <c r="AB396" s="432" t="s">
        <v>475</v>
      </c>
      <c r="AC396" s="163"/>
      <c r="AD396" s="163"/>
      <c r="AE396" s="163"/>
      <c r="AF396" s="163"/>
      <c r="AG396" s="163"/>
      <c r="AH396" s="163"/>
      <c r="AI396" s="163"/>
      <c r="AJ396" s="163"/>
      <c r="AK396" s="163"/>
      <c r="AL396" s="108"/>
      <c r="AM396" s="162"/>
    </row>
    <row r="397" spans="1:51" s="165" customFormat="1" ht="16" x14ac:dyDescent="0.35">
      <c r="A397" s="162"/>
      <c r="B397" s="162"/>
      <c r="C397" s="770"/>
      <c r="D397" s="771"/>
      <c r="E397" s="180" t="s">
        <v>207</v>
      </c>
      <c r="F397" s="123"/>
      <c r="G397" s="123"/>
      <c r="H397" s="123"/>
      <c r="I397" s="123"/>
      <c r="J397" s="123"/>
      <c r="K397" s="123"/>
      <c r="L397" s="160"/>
      <c r="M397" s="160"/>
      <c r="N397" s="160"/>
      <c r="O397" s="160"/>
      <c r="P397" s="160" t="s">
        <v>0</v>
      </c>
      <c r="Q397" s="934">
        <f>Q378</f>
        <v>8</v>
      </c>
      <c r="R397" s="934"/>
      <c r="S397" s="567" t="s">
        <v>201</v>
      </c>
      <c r="T397" s="935">
        <f>T378</f>
        <v>200</v>
      </c>
      <c r="U397" s="935"/>
      <c r="V397" s="935"/>
      <c r="W397" s="935"/>
      <c r="X397" s="935"/>
      <c r="Y397" s="935"/>
      <c r="Z397" s="935"/>
      <c r="AA397" s="161"/>
      <c r="AB397" s="732" t="str">
        <f>IF(P381=0,"--",((PI()/4*Q397^2)*(1000/T397)))</f>
        <v>--</v>
      </c>
      <c r="AC397" s="733"/>
      <c r="AD397" s="733"/>
      <c r="AE397" s="672" t="s">
        <v>199</v>
      </c>
      <c r="AF397" s="672"/>
      <c r="AG397" s="672"/>
      <c r="AH397" s="700" t="str">
        <f>IF(P381=0,"--",IF(AB397&gt;(20%*AB394),"Safe","Hence Unsafe"))</f>
        <v>--</v>
      </c>
      <c r="AI397" s="700"/>
      <c r="AJ397" s="700"/>
      <c r="AK397" s="700"/>
      <c r="AL397" s="701"/>
      <c r="AM397" s="162"/>
    </row>
    <row r="398" spans="1:51" s="165" customFormat="1" ht="9.75" customHeight="1" x14ac:dyDescent="0.3">
      <c r="A398" s="162"/>
      <c r="B398" s="162"/>
      <c r="C398" s="162"/>
      <c r="H398" s="162"/>
      <c r="I398" s="162"/>
      <c r="J398" s="162"/>
      <c r="K398" s="162"/>
      <c r="L398" s="162"/>
      <c r="M398" s="122"/>
      <c r="N398" s="122"/>
      <c r="O398" s="167"/>
      <c r="P398" s="177"/>
      <c r="Q398" s="177"/>
      <c r="R398" s="177"/>
      <c r="S398" s="80"/>
      <c r="T398" s="178"/>
      <c r="U398" s="178"/>
      <c r="V398" s="178"/>
      <c r="W398" s="176"/>
      <c r="X398" s="66"/>
      <c r="Y398" s="66"/>
      <c r="Z398" s="66"/>
      <c r="AA398" s="162"/>
      <c r="AB398" s="162"/>
      <c r="AC398" s="162"/>
      <c r="AD398" s="162"/>
      <c r="AE398" s="162"/>
      <c r="AF398" s="162"/>
      <c r="AG398" s="162"/>
      <c r="AH398" s="162"/>
      <c r="AI398" s="162"/>
      <c r="AJ398" s="162"/>
      <c r="AK398" s="162"/>
      <c r="AL398" s="162"/>
      <c r="AM398" s="162"/>
    </row>
    <row r="399" spans="1:51" s="537" customFormat="1" ht="9.75" customHeight="1" x14ac:dyDescent="0.3">
      <c r="A399" s="536"/>
      <c r="B399" s="536"/>
      <c r="C399" s="536"/>
      <c r="H399" s="536"/>
      <c r="I399" s="536"/>
      <c r="J399" s="536"/>
      <c r="K399" s="536"/>
      <c r="L399" s="536"/>
      <c r="M399" s="122"/>
      <c r="N399" s="122"/>
      <c r="O399" s="440"/>
      <c r="P399" s="177"/>
      <c r="Q399" s="177"/>
      <c r="R399" s="177"/>
      <c r="S399" s="80"/>
      <c r="T399" s="178"/>
      <c r="U399" s="178"/>
      <c r="V399" s="178"/>
      <c r="W399" s="176"/>
      <c r="X399" s="389"/>
      <c r="Y399" s="389"/>
      <c r="Z399" s="389"/>
      <c r="AA399" s="536"/>
      <c r="AB399" s="536"/>
      <c r="AC399" s="536"/>
      <c r="AD399" s="536"/>
      <c r="AE399" s="536"/>
      <c r="AF399" s="536"/>
      <c r="AG399" s="536"/>
      <c r="AH399" s="536"/>
      <c r="AI399" s="536"/>
      <c r="AJ399" s="536"/>
      <c r="AK399" s="536"/>
      <c r="AL399" s="536"/>
      <c r="AM399" s="536"/>
    </row>
    <row r="400" spans="1:51" s="537" customFormat="1" ht="9.75" customHeight="1" x14ac:dyDescent="0.3">
      <c r="A400" s="536"/>
      <c r="B400" s="536"/>
      <c r="C400" s="536"/>
      <c r="H400" s="536"/>
      <c r="I400" s="536"/>
      <c r="J400" s="536"/>
      <c r="K400" s="536"/>
      <c r="L400" s="536"/>
      <c r="M400" s="122"/>
      <c r="N400" s="122"/>
      <c r="O400" s="440"/>
      <c r="P400" s="177"/>
      <c r="Q400" s="177"/>
      <c r="R400" s="177"/>
      <c r="S400" s="80"/>
      <c r="T400" s="178"/>
      <c r="U400" s="178"/>
      <c r="V400" s="178"/>
      <c r="W400" s="176"/>
      <c r="X400" s="389"/>
      <c r="Y400" s="389"/>
      <c r="Z400" s="389"/>
      <c r="AA400" s="536"/>
      <c r="AB400" s="536"/>
      <c r="AC400" s="536"/>
      <c r="AD400" s="536"/>
      <c r="AE400" s="536"/>
      <c r="AF400" s="536"/>
      <c r="AG400" s="536"/>
      <c r="AH400" s="536"/>
      <c r="AI400" s="536"/>
      <c r="AJ400" s="536"/>
      <c r="AK400" s="536"/>
      <c r="AL400" s="536"/>
      <c r="AM400" s="536"/>
    </row>
    <row r="401" spans="1:39" s="537" customFormat="1" ht="52.5" customHeight="1" x14ac:dyDescent="0.3">
      <c r="A401" s="536"/>
      <c r="B401" s="536"/>
      <c r="C401" s="536"/>
      <c r="H401" s="536"/>
      <c r="I401" s="536"/>
      <c r="J401" s="536"/>
      <c r="K401" s="536"/>
      <c r="L401" s="536"/>
      <c r="M401" s="122"/>
      <c r="N401" s="122"/>
      <c r="O401" s="440"/>
      <c r="P401" s="177"/>
      <c r="Q401" s="177"/>
      <c r="R401" s="177"/>
      <c r="S401" s="80"/>
      <c r="T401" s="178"/>
      <c r="U401" s="178"/>
      <c r="V401" s="178"/>
      <c r="W401" s="176"/>
      <c r="X401" s="389"/>
      <c r="Y401" s="389"/>
      <c r="Z401" s="389"/>
      <c r="AA401" s="536"/>
      <c r="AB401" s="536"/>
      <c r="AC401" s="536"/>
      <c r="AD401" s="536"/>
      <c r="AE401" s="536"/>
      <c r="AF401" s="536"/>
      <c r="AG401" s="536"/>
      <c r="AH401" s="536"/>
      <c r="AI401" s="536"/>
      <c r="AJ401" s="536"/>
      <c r="AK401" s="536"/>
      <c r="AL401" s="536"/>
      <c r="AM401" s="536"/>
    </row>
    <row r="402" spans="1:39" s="477" customFormat="1" x14ac:dyDescent="0.3">
      <c r="A402" s="479"/>
      <c r="B402" s="479"/>
      <c r="C402" s="415" t="s">
        <v>513</v>
      </c>
      <c r="H402" s="479"/>
      <c r="I402" s="479"/>
      <c r="J402" s="479"/>
      <c r="K402" s="479"/>
      <c r="L402" s="479"/>
      <c r="M402" s="122"/>
      <c r="N402" s="122"/>
      <c r="O402" s="440"/>
      <c r="P402" s="177"/>
      <c r="Q402" s="177"/>
      <c r="R402" s="177"/>
      <c r="S402" s="80"/>
      <c r="T402" s="178"/>
      <c r="U402" s="178"/>
      <c r="V402" s="178"/>
      <c r="W402" s="176"/>
      <c r="X402" s="389"/>
      <c r="Y402" s="389"/>
      <c r="Z402" s="389"/>
      <c r="AA402" s="479"/>
      <c r="AB402" s="479"/>
      <c r="AC402" s="479"/>
      <c r="AD402" s="479"/>
      <c r="AE402" s="479"/>
      <c r="AF402" s="479"/>
      <c r="AG402" s="479"/>
      <c r="AH402" s="479"/>
      <c r="AI402" s="479"/>
      <c r="AJ402" s="479"/>
      <c r="AK402" s="479"/>
      <c r="AL402" s="479"/>
      <c r="AM402" s="479"/>
    </row>
    <row r="403" spans="1:39" s="477" customFormat="1" x14ac:dyDescent="0.3">
      <c r="A403" s="479"/>
      <c r="B403" s="479"/>
      <c r="C403" s="479"/>
      <c r="H403" s="479"/>
      <c r="I403" s="479"/>
      <c r="J403" s="479"/>
      <c r="K403" s="479"/>
      <c r="L403" s="479"/>
      <c r="M403" s="122"/>
      <c r="N403" s="122"/>
      <c r="O403" s="440"/>
      <c r="P403" s="177"/>
      <c r="Q403" s="177"/>
      <c r="R403" s="177"/>
      <c r="S403" s="80"/>
      <c r="T403" s="178"/>
      <c r="U403" s="178"/>
      <c r="V403" s="178"/>
      <c r="W403" s="176"/>
      <c r="X403" s="389"/>
      <c r="Y403" s="389"/>
      <c r="Z403" s="389"/>
      <c r="AA403" s="479"/>
      <c r="AB403" s="479"/>
      <c r="AC403" s="479"/>
      <c r="AD403" s="479"/>
      <c r="AE403" s="479"/>
      <c r="AF403" s="479"/>
      <c r="AG403" s="479"/>
      <c r="AH403" s="479"/>
      <c r="AI403" s="479"/>
      <c r="AJ403" s="479"/>
      <c r="AK403" s="479"/>
      <c r="AL403" s="479"/>
      <c r="AM403" s="479"/>
    </row>
    <row r="404" spans="1:39" s="477" customFormat="1" ht="14.5" x14ac:dyDescent="0.35">
      <c r="A404" s="479"/>
      <c r="B404" s="479"/>
      <c r="C404" s="415" t="s">
        <v>514</v>
      </c>
      <c r="H404" s="479"/>
      <c r="I404" s="479"/>
      <c r="J404" s="479"/>
      <c r="K404" s="479"/>
      <c r="L404" s="479"/>
      <c r="M404" s="122"/>
      <c r="N404" s="122"/>
      <c r="O404" s="440"/>
      <c r="P404" s="177"/>
      <c r="Q404" s="177" t="s">
        <v>0</v>
      </c>
      <c r="R404" s="801">
        <v>0.12</v>
      </c>
      <c r="S404" s="801"/>
      <c r="T404" s="801"/>
      <c r="U404" s="400" t="s">
        <v>21</v>
      </c>
      <c r="V404" s="800">
        <v>1000</v>
      </c>
      <c r="W404" s="800"/>
      <c r="X404" s="800"/>
      <c r="Y404" s="400" t="s">
        <v>21</v>
      </c>
      <c r="Z404" s="933">
        <f>U16*1000</f>
        <v>300</v>
      </c>
      <c r="AA404" s="933"/>
      <c r="AB404" s="933"/>
      <c r="AC404" s="484" t="s">
        <v>25</v>
      </c>
      <c r="AD404" s="744">
        <f>U17*1000</f>
        <v>500</v>
      </c>
      <c r="AE404" s="744"/>
      <c r="AF404" s="744"/>
      <c r="AG404" s="485"/>
      <c r="AH404" s="479"/>
      <c r="AI404" s="479"/>
      <c r="AJ404" s="479"/>
      <c r="AK404" s="479"/>
      <c r="AL404" s="479"/>
      <c r="AM404" s="479"/>
    </row>
    <row r="405" spans="1:39" s="477" customFormat="1" ht="14.5" x14ac:dyDescent="0.35">
      <c r="A405" s="479"/>
      <c r="B405" s="479"/>
      <c r="C405" s="479"/>
      <c r="H405" s="479"/>
      <c r="I405" s="479"/>
      <c r="J405" s="479"/>
      <c r="K405" s="479"/>
      <c r="L405" s="479"/>
      <c r="M405" s="122"/>
      <c r="N405" s="122"/>
      <c r="O405" s="440"/>
      <c r="P405" s="177"/>
      <c r="Q405" s="177"/>
      <c r="R405" s="921">
        <v>100</v>
      </c>
      <c r="S405" s="921"/>
      <c r="T405" s="921"/>
      <c r="U405" s="486"/>
      <c r="V405" s="486"/>
      <c r="W405" s="486"/>
      <c r="X405" s="486"/>
      <c r="Y405" s="283"/>
      <c r="Z405" s="487"/>
      <c r="AA405" s="488"/>
      <c r="AB405" s="922">
        <v>2</v>
      </c>
      <c r="AC405" s="922"/>
      <c r="AD405" s="922"/>
      <c r="AE405" s="485"/>
      <c r="AF405" s="485"/>
      <c r="AG405" s="485"/>
      <c r="AH405" s="479"/>
      <c r="AI405" s="479"/>
      <c r="AJ405" s="479"/>
      <c r="AK405" s="479"/>
      <c r="AL405" s="479"/>
      <c r="AM405" s="479"/>
    </row>
    <row r="406" spans="1:39" s="477" customFormat="1" ht="16" x14ac:dyDescent="0.3">
      <c r="A406" s="479"/>
      <c r="B406" s="479"/>
      <c r="C406" s="479"/>
      <c r="H406" s="479"/>
      <c r="I406" s="479"/>
      <c r="J406" s="479"/>
      <c r="K406" s="479"/>
      <c r="L406" s="479"/>
      <c r="M406" s="122"/>
      <c r="N406" s="122"/>
      <c r="O406" s="440"/>
      <c r="P406" s="177"/>
      <c r="Q406" s="177" t="s">
        <v>0</v>
      </c>
      <c r="R406" s="923">
        <f>(R404/R405)*V404*(AVERAGE(Z404,AD404))</f>
        <v>480</v>
      </c>
      <c r="S406" s="923"/>
      <c r="T406" s="923"/>
      <c r="U406" s="158" t="s">
        <v>199</v>
      </c>
      <c r="V406" s="178"/>
      <c r="W406" s="97" t="s">
        <v>515</v>
      </c>
      <c r="X406" s="389"/>
      <c r="Y406" s="389"/>
      <c r="Z406" s="389"/>
      <c r="AA406" s="479"/>
      <c r="AB406" s="479"/>
      <c r="AC406" s="479"/>
      <c r="AD406" s="479"/>
      <c r="AE406" s="479"/>
      <c r="AF406" s="479"/>
      <c r="AG406" s="479"/>
      <c r="AH406" s="479"/>
      <c r="AI406" s="479"/>
      <c r="AJ406" s="479"/>
      <c r="AK406" s="479"/>
      <c r="AL406" s="479"/>
      <c r="AM406" s="479"/>
    </row>
    <row r="407" spans="1:39" s="477" customFormat="1" ht="16" x14ac:dyDescent="0.3">
      <c r="A407" s="479"/>
      <c r="B407" s="479"/>
      <c r="C407" s="479"/>
      <c r="H407" s="479"/>
      <c r="I407" s="479"/>
      <c r="J407" s="479"/>
      <c r="K407" s="479"/>
      <c r="L407" s="479"/>
      <c r="M407" s="122"/>
      <c r="N407" s="122"/>
      <c r="O407" s="440"/>
      <c r="P407" s="177"/>
      <c r="Q407" s="177" t="s">
        <v>0</v>
      </c>
      <c r="R407" s="923">
        <f>R406/2</f>
        <v>240</v>
      </c>
      <c r="S407" s="923"/>
      <c r="T407" s="923"/>
      <c r="U407" s="158" t="s">
        <v>199</v>
      </c>
      <c r="V407" s="178"/>
      <c r="W407" s="97" t="s">
        <v>516</v>
      </c>
      <c r="X407" s="389"/>
      <c r="Y407" s="389"/>
      <c r="Z407" s="389"/>
      <c r="AA407" s="479"/>
      <c r="AB407" s="479"/>
      <c r="AC407" s="479"/>
      <c r="AD407" s="479"/>
      <c r="AE407" s="479"/>
      <c r="AF407" s="479"/>
      <c r="AG407" s="479"/>
      <c r="AH407" s="479"/>
      <c r="AI407" s="479"/>
      <c r="AJ407" s="479"/>
      <c r="AK407" s="479"/>
      <c r="AL407" s="479"/>
      <c r="AM407" s="479"/>
    </row>
    <row r="408" spans="1:39" s="477" customFormat="1" x14ac:dyDescent="0.3">
      <c r="A408" s="479"/>
      <c r="B408" s="479"/>
      <c r="C408" s="479"/>
      <c r="H408" s="479"/>
      <c r="I408" s="479"/>
      <c r="J408" s="479"/>
      <c r="K408" s="479"/>
      <c r="L408" s="479"/>
      <c r="M408" s="122"/>
      <c r="N408" s="122"/>
      <c r="O408" s="440"/>
      <c r="P408" s="177"/>
      <c r="Q408" s="177"/>
      <c r="R408" s="120"/>
      <c r="S408" s="120"/>
      <c r="T408" s="120"/>
      <c r="U408" s="158"/>
      <c r="V408" s="178"/>
      <c r="W408" s="178"/>
      <c r="X408" s="389"/>
      <c r="Y408" s="389"/>
      <c r="AA408" s="479"/>
      <c r="AB408" s="479"/>
      <c r="AC408" s="479"/>
      <c r="AD408" s="479"/>
      <c r="AE408" s="479"/>
      <c r="AF408" s="479"/>
      <c r="AG408" s="479"/>
      <c r="AH408" s="479"/>
      <c r="AI408" s="479"/>
      <c r="AJ408" s="479"/>
      <c r="AK408" s="479"/>
      <c r="AL408" s="479"/>
      <c r="AM408" s="479"/>
    </row>
    <row r="409" spans="1:39" s="477" customFormat="1" ht="15.5" x14ac:dyDescent="0.35">
      <c r="A409" s="479"/>
      <c r="B409" s="479"/>
      <c r="C409" s="292" t="s">
        <v>517</v>
      </c>
      <c r="D409" s="283"/>
      <c r="E409" s="283"/>
      <c r="F409" s="283"/>
      <c r="G409" s="814">
        <v>10</v>
      </c>
      <c r="H409" s="814"/>
      <c r="I409" s="489" t="s">
        <v>518</v>
      </c>
      <c r="J409" s="489"/>
      <c r="K409" s="796">
        <v>100</v>
      </c>
      <c r="L409" s="796"/>
      <c r="M409" s="796"/>
      <c r="N409" s="489" t="s">
        <v>519</v>
      </c>
      <c r="O409" s="489"/>
      <c r="P409" s="490"/>
      <c r="Q409" s="491"/>
      <c r="R409" s="492"/>
      <c r="S409" s="492" t="s">
        <v>520</v>
      </c>
      <c r="T409" s="797">
        <f>((PI()/4*G409^2)*1000)/K409</f>
        <v>785.39816339744834</v>
      </c>
      <c r="U409" s="797"/>
      <c r="V409" s="797"/>
      <c r="W409" s="283" t="s">
        <v>521</v>
      </c>
      <c r="X409" s="283"/>
      <c r="Y409" s="283"/>
      <c r="Z409" s="493" t="s">
        <v>525</v>
      </c>
      <c r="AA409" s="493"/>
      <c r="AB409" s="283"/>
      <c r="AC409" s="485"/>
      <c r="AD409" s="485"/>
      <c r="AE409" s="485"/>
      <c r="AF409" s="485"/>
      <c r="AG409" s="485"/>
      <c r="AI409" s="499" t="str">
        <f>IF(T409&gt;R406,"Ok","Increase steel")</f>
        <v>Ok</v>
      </c>
      <c r="AJ409" s="479"/>
      <c r="AK409" s="479"/>
      <c r="AL409" s="479"/>
      <c r="AM409" s="479"/>
    </row>
    <row r="410" spans="1:39" s="477" customFormat="1" ht="15.5" x14ac:dyDescent="0.35">
      <c r="A410" s="479"/>
      <c r="B410" s="479"/>
      <c r="C410" s="292" t="s">
        <v>517</v>
      </c>
      <c r="D410" s="283"/>
      <c r="E410" s="283"/>
      <c r="F410" s="283"/>
      <c r="G410" s="788">
        <v>8</v>
      </c>
      <c r="H410" s="788"/>
      <c r="I410" s="494" t="s">
        <v>518</v>
      </c>
      <c r="J410" s="494"/>
      <c r="K410" s="798">
        <v>200</v>
      </c>
      <c r="L410" s="798"/>
      <c r="M410" s="798"/>
      <c r="N410" s="494" t="s">
        <v>519</v>
      </c>
      <c r="O410" s="494"/>
      <c r="P410" s="495"/>
      <c r="Q410" s="496"/>
      <c r="R410" s="497" t="s">
        <v>523</v>
      </c>
      <c r="S410" s="498" t="s">
        <v>520</v>
      </c>
      <c r="T410" s="799">
        <f>(((PI()/4*G410^2)*1000)/K410)</f>
        <v>251.32741228718342</v>
      </c>
      <c r="U410" s="799"/>
      <c r="V410" s="799"/>
      <c r="W410" t="s">
        <v>524</v>
      </c>
      <c r="X410"/>
      <c r="Y410"/>
      <c r="Z410" s="493" t="s">
        <v>522</v>
      </c>
      <c r="AA410" s="493"/>
      <c r="AB410" s="283"/>
      <c r="AC410" s="485"/>
      <c r="AD410" s="485"/>
      <c r="AE410" s="485"/>
      <c r="AF410" s="485"/>
      <c r="AG410" s="485"/>
      <c r="AI410" s="499" t="str">
        <f>IF(T410&gt;R407,"Ok","Increase steel")</f>
        <v>Ok</v>
      </c>
      <c r="AJ410" s="479"/>
      <c r="AK410" s="479"/>
      <c r="AL410" s="479"/>
      <c r="AM410" s="479"/>
    </row>
    <row r="411" spans="1:39" s="328" customFormat="1" ht="13.5" customHeight="1" x14ac:dyDescent="0.3">
      <c r="A411" s="329"/>
      <c r="B411" s="329"/>
      <c r="C411" s="329"/>
      <c r="H411" s="329"/>
      <c r="I411" s="329"/>
      <c r="J411" s="329"/>
      <c r="K411" s="329"/>
      <c r="L411" s="329"/>
      <c r="M411" s="122"/>
      <c r="N411" s="122"/>
      <c r="O411" s="340"/>
      <c r="P411" s="177"/>
      <c r="Q411" s="177"/>
      <c r="R411" s="177"/>
      <c r="S411" s="80"/>
      <c r="T411" s="178"/>
      <c r="U411" s="178"/>
      <c r="V411" s="178"/>
      <c r="W411" s="176"/>
      <c r="X411" s="332"/>
      <c r="Y411" s="332"/>
      <c r="Z411" s="332"/>
      <c r="AA411" s="329"/>
      <c r="AB411" s="329"/>
      <c r="AC411" s="329"/>
      <c r="AD411" s="329"/>
      <c r="AE411" s="329"/>
      <c r="AF411" s="329"/>
      <c r="AG411" s="329"/>
      <c r="AH411" s="329"/>
      <c r="AI411" s="329"/>
      <c r="AJ411" s="329"/>
      <c r="AK411" s="329"/>
      <c r="AL411" s="329"/>
      <c r="AM411" s="329"/>
    </row>
    <row r="412" spans="1:39" s="165" customFormat="1" x14ac:dyDescent="0.3">
      <c r="A412" s="162"/>
      <c r="B412" s="162"/>
      <c r="C412" s="361" t="s">
        <v>393</v>
      </c>
      <c r="H412" s="162"/>
      <c r="I412" s="162"/>
      <c r="J412" s="162"/>
      <c r="K412" s="162"/>
      <c r="L412" s="162"/>
      <c r="M412" s="122"/>
      <c r="N412" s="122"/>
      <c r="O412" s="167"/>
      <c r="P412" s="177"/>
      <c r="Q412" s="177"/>
      <c r="R412" s="177"/>
      <c r="S412" s="80"/>
      <c r="T412" s="178"/>
      <c r="U412" s="178"/>
      <c r="V412" s="178"/>
      <c r="W412" s="176"/>
      <c r="X412" s="66"/>
      <c r="Y412" s="66"/>
      <c r="Z412" s="66"/>
      <c r="AA412" s="162"/>
      <c r="AB412" s="162"/>
      <c r="AC412" s="162"/>
      <c r="AD412" s="162"/>
      <c r="AE412" s="162"/>
      <c r="AF412" s="162"/>
      <c r="AG412" s="162"/>
      <c r="AH412" s="162"/>
      <c r="AI412" s="162"/>
      <c r="AJ412" s="162"/>
      <c r="AK412" s="162"/>
      <c r="AL412" s="162"/>
      <c r="AM412" s="162"/>
    </row>
    <row r="413" spans="1:39" s="328" customFormat="1" x14ac:dyDescent="0.3">
      <c r="A413" s="329"/>
      <c r="B413" s="329"/>
      <c r="C413" s="361"/>
      <c r="H413" s="329"/>
      <c r="I413" s="329"/>
      <c r="J413" s="329"/>
      <c r="K413" s="329"/>
      <c r="L413" s="329"/>
      <c r="M413" s="122"/>
      <c r="N413" s="122"/>
      <c r="O413" s="340"/>
      <c r="P413" s="177"/>
      <c r="Q413" s="177"/>
      <c r="R413" s="177"/>
      <c r="S413" s="80"/>
      <c r="T413" s="178"/>
      <c r="U413" s="178"/>
      <c r="V413" s="178"/>
      <c r="W413" s="176"/>
      <c r="X413" s="332"/>
      <c r="Y413" s="332"/>
      <c r="Z413" s="332"/>
      <c r="AA413" s="329"/>
      <c r="AB413" s="329"/>
      <c r="AC413" s="329"/>
      <c r="AD413" s="329"/>
      <c r="AE413" s="329"/>
      <c r="AF413" s="329"/>
      <c r="AG413" s="329"/>
      <c r="AH413" s="329"/>
      <c r="AI413" s="329"/>
      <c r="AJ413" s="329"/>
      <c r="AK413" s="329"/>
      <c r="AL413" s="329"/>
      <c r="AM413" s="329"/>
    </row>
    <row r="414" spans="1:39" s="196" customFormat="1" x14ac:dyDescent="0.3">
      <c r="A414" s="201"/>
      <c r="B414" s="201"/>
      <c r="C414" s="342" t="s">
        <v>461</v>
      </c>
      <c r="H414" s="201"/>
      <c r="I414" s="201"/>
      <c r="J414" s="201"/>
      <c r="K414" s="201"/>
      <c r="L414" s="201"/>
      <c r="M414" s="122"/>
      <c r="N414" s="122"/>
      <c r="O414" s="206"/>
      <c r="P414" s="177"/>
      <c r="Q414" s="177"/>
      <c r="R414" s="177"/>
      <c r="S414" s="80"/>
      <c r="T414" s="178"/>
      <c r="U414" s="178"/>
      <c r="V414" s="178"/>
      <c r="W414" s="176"/>
      <c r="X414" s="66"/>
      <c r="Y414" s="66"/>
      <c r="Z414" s="66"/>
      <c r="AA414" s="201"/>
      <c r="AB414" s="201"/>
      <c r="AC414" s="201"/>
      <c r="AD414" s="201"/>
      <c r="AE414" s="201"/>
      <c r="AF414" s="201"/>
      <c r="AG414" s="201"/>
      <c r="AH414" s="201"/>
      <c r="AI414" s="201"/>
      <c r="AJ414" s="201"/>
      <c r="AK414" s="201"/>
      <c r="AL414" s="201"/>
      <c r="AM414" s="201"/>
    </row>
    <row r="415" spans="1:39" s="165" customFormat="1" x14ac:dyDescent="0.35">
      <c r="A415" s="162"/>
      <c r="B415" s="162"/>
      <c r="C415" s="785" t="s">
        <v>38</v>
      </c>
      <c r="D415" s="785"/>
      <c r="E415" s="721" t="s">
        <v>200</v>
      </c>
      <c r="F415" s="722"/>
      <c r="G415" s="722"/>
      <c r="H415" s="722"/>
      <c r="I415" s="722"/>
      <c r="J415" s="722"/>
      <c r="K415" s="722"/>
      <c r="L415" s="722"/>
      <c r="M415" s="722"/>
      <c r="N415" s="722"/>
      <c r="O415" s="722"/>
      <c r="P415" s="722"/>
      <c r="Q415" s="722"/>
      <c r="R415" s="722"/>
      <c r="S415" s="722"/>
      <c r="T415" s="722"/>
      <c r="U415" s="722"/>
      <c r="V415" s="722"/>
      <c r="W415" s="722"/>
      <c r="X415" s="722"/>
      <c r="Y415" s="722"/>
      <c r="Z415" s="722"/>
      <c r="AA415" s="722"/>
      <c r="AB415" s="722"/>
      <c r="AC415" s="722"/>
      <c r="AD415" s="722"/>
      <c r="AE415" s="722"/>
      <c r="AF415" s="722"/>
      <c r="AG415" s="722"/>
      <c r="AH415" s="722"/>
      <c r="AI415" s="722"/>
      <c r="AJ415" s="722"/>
      <c r="AK415" s="722"/>
      <c r="AL415" s="723"/>
      <c r="AM415" s="162"/>
    </row>
    <row r="416" spans="1:39" s="165" customFormat="1" x14ac:dyDescent="0.35">
      <c r="A416" s="162"/>
      <c r="B416" s="162"/>
      <c r="C416" s="785"/>
      <c r="D416" s="785"/>
      <c r="E416" s="724"/>
      <c r="F416" s="725"/>
      <c r="G416" s="725"/>
      <c r="H416" s="725"/>
      <c r="I416" s="725"/>
      <c r="J416" s="725"/>
      <c r="K416" s="725"/>
      <c r="L416" s="725"/>
      <c r="M416" s="725"/>
      <c r="N416" s="725"/>
      <c r="O416" s="725"/>
      <c r="P416" s="725"/>
      <c r="Q416" s="725"/>
      <c r="R416" s="725"/>
      <c r="S416" s="725"/>
      <c r="T416" s="725"/>
      <c r="U416" s="725"/>
      <c r="V416" s="725"/>
      <c r="W416" s="725"/>
      <c r="X416" s="725"/>
      <c r="Y416" s="725"/>
      <c r="Z416" s="725"/>
      <c r="AA416" s="725"/>
      <c r="AB416" s="725"/>
      <c r="AC416" s="725"/>
      <c r="AD416" s="725"/>
      <c r="AE416" s="725"/>
      <c r="AF416" s="725"/>
      <c r="AG416" s="725"/>
      <c r="AH416" s="725"/>
      <c r="AI416" s="725"/>
      <c r="AJ416" s="725"/>
      <c r="AK416" s="725"/>
      <c r="AL416" s="726"/>
      <c r="AM416" s="162"/>
    </row>
    <row r="417" spans="1:43" s="305" customFormat="1" ht="14.5" x14ac:dyDescent="0.35">
      <c r="A417" s="299"/>
      <c r="B417" s="299"/>
      <c r="C417" s="768">
        <v>1</v>
      </c>
      <c r="D417" s="769"/>
      <c r="E417" s="216" t="s">
        <v>346</v>
      </c>
      <c r="F417" s="234"/>
      <c r="G417" s="234"/>
      <c r="H417" s="234"/>
      <c r="I417" s="234"/>
      <c r="J417" s="234"/>
      <c r="K417" s="234"/>
      <c r="L417" s="234"/>
      <c r="M417" s="234"/>
      <c r="N417" s="234"/>
      <c r="O417" s="234"/>
      <c r="P417" s="234"/>
      <c r="Q417" s="234"/>
      <c r="R417" s="234"/>
      <c r="S417" s="234"/>
      <c r="T417" s="234"/>
      <c r="U417" s="234"/>
      <c r="V417" s="234"/>
      <c r="W417" s="234"/>
      <c r="X417" s="234"/>
      <c r="Y417" s="234"/>
      <c r="Z417" s="234"/>
      <c r="AA417" s="235"/>
      <c r="AB417" s="739">
        <f>AJ350</f>
        <v>77.61061807858141</v>
      </c>
      <c r="AC417" s="720"/>
      <c r="AD417" s="720"/>
      <c r="AE417" s="720"/>
      <c r="AF417" s="720"/>
      <c r="AG417" s="720"/>
      <c r="AH417" s="720" t="s">
        <v>12</v>
      </c>
      <c r="AI417" s="720"/>
      <c r="AJ417" s="720"/>
      <c r="AK417" s="296"/>
      <c r="AL417" s="310"/>
      <c r="AM417" s="299"/>
    </row>
    <row r="418" spans="1:43" s="165" customFormat="1" ht="14.5" x14ac:dyDescent="0.35">
      <c r="A418" s="162"/>
      <c r="B418" s="162"/>
      <c r="C418" s="768">
        <v>2</v>
      </c>
      <c r="D418" s="769"/>
      <c r="E418" s="216" t="s">
        <v>211</v>
      </c>
      <c r="F418" s="234"/>
      <c r="G418" s="234"/>
      <c r="H418" s="234"/>
      <c r="I418" s="234"/>
      <c r="J418" s="234"/>
      <c r="K418" s="234"/>
      <c r="L418" s="234"/>
      <c r="M418" s="234"/>
      <c r="N418" s="234"/>
      <c r="O418" s="234"/>
      <c r="P418" s="234"/>
      <c r="Q418" s="234"/>
      <c r="R418" s="234"/>
      <c r="S418" s="234"/>
      <c r="T418" s="234"/>
      <c r="U418" s="234"/>
      <c r="V418" s="234"/>
      <c r="W418" s="234"/>
      <c r="X418" s="234"/>
      <c r="Y418" s="234"/>
      <c r="Z418" s="234"/>
      <c r="AA418" s="235"/>
      <c r="AB418" s="772">
        <v>1000</v>
      </c>
      <c r="AC418" s="720"/>
      <c r="AD418" s="720"/>
      <c r="AE418" s="720"/>
      <c r="AF418" s="720"/>
      <c r="AG418" s="720"/>
      <c r="AH418" s="720" t="s">
        <v>2</v>
      </c>
      <c r="AI418" s="720"/>
      <c r="AJ418" s="720"/>
      <c r="AK418" s="202"/>
      <c r="AL418" s="205"/>
      <c r="AM418" s="162"/>
    </row>
    <row r="419" spans="1:43" s="165" customFormat="1" ht="14.5" x14ac:dyDescent="0.35">
      <c r="A419" s="162"/>
      <c r="B419" s="162"/>
      <c r="C419" s="768">
        <v>3</v>
      </c>
      <c r="D419" s="769"/>
      <c r="E419" s="216" t="s">
        <v>212</v>
      </c>
      <c r="F419" s="234"/>
      <c r="G419" s="234"/>
      <c r="H419" s="234"/>
      <c r="I419" s="234"/>
      <c r="J419" s="234"/>
      <c r="K419" s="234"/>
      <c r="L419" s="234"/>
      <c r="M419" s="234"/>
      <c r="N419" s="234"/>
      <c r="O419" s="234"/>
      <c r="P419" s="234"/>
      <c r="Q419" s="234"/>
      <c r="R419" s="234"/>
      <c r="S419" s="234"/>
      <c r="T419" s="234"/>
      <c r="U419" s="234"/>
      <c r="V419" s="234"/>
      <c r="W419" s="234"/>
      <c r="X419" s="234"/>
      <c r="Y419" s="234"/>
      <c r="Z419" s="234"/>
      <c r="AA419" s="235"/>
      <c r="AB419" s="772">
        <f>T113*1000</f>
        <v>500</v>
      </c>
      <c r="AC419" s="720"/>
      <c r="AD419" s="720"/>
      <c r="AE419" s="720"/>
      <c r="AF419" s="720"/>
      <c r="AG419" s="720"/>
      <c r="AH419" s="720" t="s">
        <v>2</v>
      </c>
      <c r="AI419" s="720"/>
      <c r="AJ419" s="720"/>
      <c r="AK419" s="202"/>
      <c r="AL419" s="205"/>
      <c r="AM419" s="162"/>
    </row>
    <row r="420" spans="1:43" s="165" customFormat="1" ht="14.5" x14ac:dyDescent="0.35">
      <c r="A420" s="162"/>
      <c r="B420" s="72"/>
      <c r="C420" s="768">
        <v>4</v>
      </c>
      <c r="D420" s="769"/>
      <c r="E420" s="236" t="s">
        <v>213</v>
      </c>
      <c r="F420" s="237"/>
      <c r="G420" s="237"/>
      <c r="H420" s="237"/>
      <c r="I420" s="237"/>
      <c r="J420" s="237"/>
      <c r="K420" s="237"/>
      <c r="L420" s="237"/>
      <c r="M420" s="237"/>
      <c r="N420" s="237"/>
      <c r="O420" s="234"/>
      <c r="P420" s="234"/>
      <c r="Q420" s="234"/>
      <c r="R420" s="234"/>
      <c r="S420" s="234"/>
      <c r="T420" s="234"/>
      <c r="U420" s="234"/>
      <c r="V420" s="234"/>
      <c r="W420" s="234"/>
      <c r="X420" s="234"/>
      <c r="Y420" s="234"/>
      <c r="Z420" s="234"/>
      <c r="AA420" s="235"/>
      <c r="AB420" s="805">
        <f>0.6*(1-(U43/310))</f>
        <v>0.55161290322580636</v>
      </c>
      <c r="AC420" s="689"/>
      <c r="AD420" s="689"/>
      <c r="AE420" s="689"/>
      <c r="AF420" s="689"/>
      <c r="AG420" s="689"/>
      <c r="AH420" s="720"/>
      <c r="AI420" s="720"/>
      <c r="AJ420" s="720"/>
      <c r="AK420" s="202"/>
      <c r="AL420" s="205"/>
    </row>
    <row r="421" spans="1:43" s="165" customFormat="1" ht="17" x14ac:dyDescent="0.3">
      <c r="A421" s="162"/>
      <c r="B421" s="72"/>
      <c r="C421" s="768">
        <v>5</v>
      </c>
      <c r="D421" s="769"/>
      <c r="E421" s="146" t="s">
        <v>239</v>
      </c>
      <c r="F421" s="144"/>
      <c r="G421" s="144"/>
      <c r="H421" s="144"/>
      <c r="I421" s="144"/>
      <c r="J421" s="144"/>
      <c r="K421" s="144"/>
      <c r="L421" s="144"/>
      <c r="M421" s="144"/>
      <c r="N421" s="144"/>
      <c r="O421" s="144"/>
      <c r="P421" s="144"/>
      <c r="Q421" s="144"/>
      <c r="R421" s="144"/>
      <c r="S421" s="144"/>
      <c r="T421" s="144"/>
      <c r="U421" s="144"/>
      <c r="V421" s="144"/>
      <c r="W421" s="144"/>
      <c r="X421" s="144"/>
      <c r="Y421" s="144"/>
      <c r="Z421" s="144"/>
      <c r="AA421" s="105"/>
      <c r="AB421" s="775">
        <f>(0.5*AB418*AB419*AB420*U53)/1000</f>
        <v>1539.9193548387091</v>
      </c>
      <c r="AC421" s="776"/>
      <c r="AD421" s="776"/>
      <c r="AE421" s="776"/>
      <c r="AF421" s="776"/>
      <c r="AG421" s="776"/>
      <c r="AH421" s="729" t="s">
        <v>12</v>
      </c>
      <c r="AI421" s="729"/>
      <c r="AJ421" s="729"/>
      <c r="AK421" s="202"/>
      <c r="AL421" s="241"/>
      <c r="AM421" s="705" t="str">
        <f>IF(AB417&lt;AB421,"Safe","Not Safe")</f>
        <v>Safe</v>
      </c>
      <c r="AN421" s="706"/>
      <c r="AO421" s="706"/>
      <c r="AP421" s="706"/>
      <c r="AQ421" s="707"/>
    </row>
    <row r="422" spans="1:43" s="165" customFormat="1" ht="16" x14ac:dyDescent="0.3">
      <c r="A422" s="162"/>
      <c r="B422" s="72"/>
      <c r="C422" s="768">
        <v>6</v>
      </c>
      <c r="D422" s="769"/>
      <c r="E422" s="242" t="s">
        <v>214</v>
      </c>
      <c r="F422" s="243"/>
      <c r="G422" s="243"/>
      <c r="H422" s="243"/>
      <c r="I422" s="243"/>
      <c r="J422" s="243"/>
      <c r="K422" s="243"/>
      <c r="L422" s="243"/>
      <c r="M422" s="243"/>
      <c r="N422" s="243"/>
      <c r="O422" s="243"/>
      <c r="P422" s="243"/>
      <c r="Q422" s="243"/>
      <c r="R422" s="243"/>
      <c r="S422" s="243"/>
      <c r="T422" s="243"/>
      <c r="U422" s="243"/>
      <c r="V422" s="243"/>
      <c r="W422" s="243"/>
      <c r="X422" s="243"/>
      <c r="Y422" s="243"/>
      <c r="Z422" s="243"/>
      <c r="AA422" s="244"/>
      <c r="AB422" s="687">
        <f>AB419*AB418</f>
        <v>500000</v>
      </c>
      <c r="AC422" s="688"/>
      <c r="AD422" s="688"/>
      <c r="AE422" s="688"/>
      <c r="AF422" s="688"/>
      <c r="AG422" s="688"/>
      <c r="AH422" s="688" t="s">
        <v>199</v>
      </c>
      <c r="AI422" s="688"/>
      <c r="AJ422" s="688"/>
      <c r="AK422" s="199"/>
      <c r="AL422" s="203"/>
    </row>
    <row r="423" spans="1:43" s="165" customFormat="1" ht="15" customHeight="1" x14ac:dyDescent="0.35">
      <c r="A423" s="162"/>
      <c r="B423" s="72"/>
      <c r="C423" s="245"/>
      <c r="D423" s="246"/>
      <c r="E423" s="246" t="s">
        <v>240</v>
      </c>
      <c r="F423" s="246"/>
      <c r="G423" s="246"/>
      <c r="H423" s="246"/>
      <c r="I423" s="246"/>
      <c r="J423" s="246"/>
      <c r="K423" s="246"/>
      <c r="L423" s="246"/>
      <c r="M423" s="246"/>
      <c r="N423" s="246"/>
      <c r="O423" s="246"/>
      <c r="P423" s="246"/>
      <c r="Q423" s="246"/>
      <c r="R423" s="246"/>
      <c r="S423" s="246"/>
      <c r="T423" s="246"/>
      <c r="U423" s="246"/>
      <c r="V423" s="246"/>
      <c r="W423" s="246"/>
      <c r="X423" s="246"/>
      <c r="Y423" s="246"/>
      <c r="Z423" s="246"/>
      <c r="AA423" s="246"/>
      <c r="AB423" s="246"/>
      <c r="AC423" s="246"/>
      <c r="AD423" s="246"/>
      <c r="AE423" s="246"/>
      <c r="AF423" s="246"/>
      <c r="AG423" s="246"/>
      <c r="AH423" s="246"/>
      <c r="AI423" s="246"/>
      <c r="AJ423" s="246"/>
      <c r="AK423" s="246"/>
      <c r="AL423" s="247"/>
    </row>
    <row r="424" spans="1:43" s="165" customFormat="1" ht="17" x14ac:dyDescent="0.45">
      <c r="A424" s="162"/>
      <c r="B424" s="72"/>
      <c r="C424" s="768">
        <v>7</v>
      </c>
      <c r="D424" s="769"/>
      <c r="E424" s="216" t="s">
        <v>215</v>
      </c>
      <c r="F424" s="217"/>
      <c r="G424" s="217"/>
      <c r="H424" s="217"/>
      <c r="I424" s="217"/>
      <c r="J424" s="217"/>
      <c r="K424" s="217"/>
      <c r="L424" s="217"/>
      <c r="M424" s="217"/>
      <c r="N424" s="217"/>
      <c r="O424" s="217"/>
      <c r="P424" s="217"/>
      <c r="Q424" s="217"/>
      <c r="R424" s="217"/>
      <c r="S424" s="217"/>
      <c r="T424" s="217"/>
      <c r="U424" s="217"/>
      <c r="V424" s="217"/>
      <c r="W424" s="217"/>
      <c r="X424" s="217"/>
      <c r="Y424" s="217"/>
      <c r="Z424" s="217"/>
      <c r="AA424" s="218"/>
      <c r="AB424" s="805">
        <f>0.2*U53</f>
        <v>2.2333333333333334</v>
      </c>
      <c r="AC424" s="689"/>
      <c r="AD424" s="689"/>
      <c r="AE424" s="689"/>
      <c r="AF424" s="689"/>
      <c r="AG424" s="689"/>
      <c r="AH424" s="729" t="s">
        <v>216</v>
      </c>
      <c r="AI424" s="729"/>
      <c r="AJ424" s="729"/>
      <c r="AK424" s="202"/>
      <c r="AL424" s="205"/>
    </row>
    <row r="425" spans="1:43" s="165" customFormat="1" x14ac:dyDescent="0.3">
      <c r="A425" s="162"/>
      <c r="B425" s="72"/>
      <c r="C425" s="768">
        <v>8</v>
      </c>
      <c r="D425" s="769"/>
      <c r="E425" s="216" t="s">
        <v>217</v>
      </c>
      <c r="F425" s="217"/>
      <c r="G425" s="217"/>
      <c r="H425" s="217"/>
      <c r="I425" s="217"/>
      <c r="J425" s="217"/>
      <c r="K425" s="217"/>
      <c r="L425" s="217"/>
      <c r="M425" s="217"/>
      <c r="N425" s="217"/>
      <c r="O425" s="217"/>
      <c r="P425" s="217"/>
      <c r="Q425" s="217"/>
      <c r="R425" s="217"/>
      <c r="S425" s="217"/>
      <c r="T425" s="217"/>
      <c r="U425" s="217"/>
      <c r="V425" s="217"/>
      <c r="W425" s="217"/>
      <c r="X425" s="217"/>
      <c r="Y425" s="217"/>
      <c r="Z425" s="217"/>
      <c r="AA425" s="218"/>
      <c r="AB425" s="739">
        <f>MIN((1+SQRT(200/AB419)),2)</f>
        <v>1.632455532033676</v>
      </c>
      <c r="AC425" s="740"/>
      <c r="AD425" s="740"/>
      <c r="AE425" s="740"/>
      <c r="AF425" s="740"/>
      <c r="AG425" s="740"/>
      <c r="AH425" s="720"/>
      <c r="AI425" s="720"/>
      <c r="AJ425" s="720"/>
      <c r="AK425" s="202"/>
      <c r="AL425" s="205"/>
    </row>
    <row r="426" spans="1:43" s="165" customFormat="1" ht="18.5" x14ac:dyDescent="0.3">
      <c r="A426" s="162"/>
      <c r="B426" s="72"/>
      <c r="C426" s="768">
        <v>9</v>
      </c>
      <c r="D426" s="769"/>
      <c r="E426" s="238" t="s">
        <v>218</v>
      </c>
      <c r="F426" s="239"/>
      <c r="G426" s="239"/>
      <c r="H426" s="239"/>
      <c r="I426" s="239"/>
      <c r="J426" s="239"/>
      <c r="K426" s="239"/>
      <c r="L426" s="239"/>
      <c r="M426" s="239"/>
      <c r="N426" s="239"/>
      <c r="O426" s="239"/>
      <c r="P426" s="239"/>
      <c r="Q426" s="239"/>
      <c r="R426" s="239"/>
      <c r="S426" s="239"/>
      <c r="T426" s="239"/>
      <c r="U426" s="239"/>
      <c r="V426" s="239"/>
      <c r="W426" s="239"/>
      <c r="X426" s="239"/>
      <c r="Y426" s="239"/>
      <c r="Z426" s="239"/>
      <c r="AA426" s="240"/>
      <c r="AB426" s="739">
        <f>AB375/AB422</f>
        <v>2.2619467105846509E-3</v>
      </c>
      <c r="AC426" s="740"/>
      <c r="AD426" s="740"/>
      <c r="AE426" s="740"/>
      <c r="AF426" s="740"/>
      <c r="AG426" s="740"/>
      <c r="AH426" s="720"/>
      <c r="AI426" s="720"/>
      <c r="AJ426" s="720"/>
      <c r="AK426" s="202"/>
      <c r="AL426" s="205"/>
    </row>
    <row r="427" spans="1:43" s="165" customFormat="1" ht="17.5" x14ac:dyDescent="0.45">
      <c r="A427" s="162"/>
      <c r="B427" s="72"/>
      <c r="C427" s="768">
        <v>10</v>
      </c>
      <c r="D427" s="769"/>
      <c r="E427" s="216" t="s">
        <v>219</v>
      </c>
      <c r="F427" s="217"/>
      <c r="G427" s="217"/>
      <c r="H427" s="217"/>
      <c r="I427" s="217"/>
      <c r="J427" s="217"/>
      <c r="K427" s="217"/>
      <c r="L427" s="217"/>
      <c r="M427" s="217"/>
      <c r="N427" s="217"/>
      <c r="O427" s="217"/>
      <c r="P427" s="217"/>
      <c r="Q427" s="217"/>
      <c r="R427" s="217"/>
      <c r="S427" s="217"/>
      <c r="T427" s="217"/>
      <c r="U427" s="217"/>
      <c r="V427" s="217"/>
      <c r="W427" s="217"/>
      <c r="X427" s="217"/>
      <c r="Y427" s="217"/>
      <c r="Z427" s="217"/>
      <c r="AA427" s="218"/>
      <c r="AB427" s="739">
        <f>0.031*(AB425^(3/2))*(U43^(1/2))</f>
        <v>0.32329109194991879</v>
      </c>
      <c r="AC427" s="740"/>
      <c r="AD427" s="740"/>
      <c r="AE427" s="740"/>
      <c r="AF427" s="740"/>
      <c r="AG427" s="740"/>
      <c r="AH427" s="720" t="s">
        <v>216</v>
      </c>
      <c r="AI427" s="720"/>
      <c r="AJ427" s="720"/>
      <c r="AK427" s="202"/>
      <c r="AL427" s="205"/>
    </row>
    <row r="428" spans="1:43" s="165" customFormat="1" ht="16.5" x14ac:dyDescent="0.4">
      <c r="A428" s="162"/>
      <c r="B428" s="72"/>
      <c r="C428" s="768">
        <v>11</v>
      </c>
      <c r="D428" s="769"/>
      <c r="E428" s="219" t="s">
        <v>220</v>
      </c>
      <c r="F428" s="220"/>
      <c r="G428" s="220"/>
      <c r="H428" s="220"/>
      <c r="I428" s="220"/>
      <c r="J428" s="220"/>
      <c r="K428" s="220"/>
      <c r="L428" s="220"/>
      <c r="M428" s="220"/>
      <c r="N428" s="220"/>
      <c r="O428" s="220"/>
      <c r="P428" s="220"/>
      <c r="Q428" s="220"/>
      <c r="R428" s="220"/>
      <c r="S428" s="220"/>
      <c r="T428" s="220"/>
      <c r="U428" s="220"/>
      <c r="V428" s="220"/>
      <c r="W428" s="220"/>
      <c r="X428" s="220"/>
      <c r="Y428" s="220"/>
      <c r="Z428" s="220"/>
      <c r="AA428" s="221"/>
      <c r="AB428" s="739">
        <f>0.12*AB425*(80*AB426*U43)^0.33</f>
        <v>0.32236040029221513</v>
      </c>
      <c r="AC428" s="740"/>
      <c r="AD428" s="740"/>
      <c r="AE428" s="740"/>
      <c r="AF428" s="740"/>
      <c r="AG428" s="740"/>
      <c r="AH428" s="720" t="s">
        <v>63</v>
      </c>
      <c r="AI428" s="720"/>
      <c r="AJ428" s="720"/>
      <c r="AK428" s="202"/>
      <c r="AL428" s="205"/>
    </row>
    <row r="429" spans="1:43" s="165" customFormat="1" ht="17" x14ac:dyDescent="0.45">
      <c r="A429" s="162"/>
      <c r="B429" s="72"/>
      <c r="C429" s="768">
        <v>12</v>
      </c>
      <c r="D429" s="769"/>
      <c r="E429" s="216" t="s">
        <v>221</v>
      </c>
      <c r="F429" s="217"/>
      <c r="G429" s="217"/>
      <c r="H429" s="217"/>
      <c r="I429" s="217"/>
      <c r="J429" s="217"/>
      <c r="K429" s="217"/>
      <c r="L429" s="217"/>
      <c r="M429" s="217"/>
      <c r="N429" s="217"/>
      <c r="O429" s="217"/>
      <c r="P429" s="217"/>
      <c r="Q429" s="217"/>
      <c r="R429" s="217"/>
      <c r="S429" s="217"/>
      <c r="T429" s="217"/>
      <c r="U429" s="217"/>
      <c r="V429" s="217"/>
      <c r="W429" s="217"/>
      <c r="X429" s="217"/>
      <c r="Y429" s="217"/>
      <c r="Z429" s="217"/>
      <c r="AA429" s="218"/>
      <c r="AB429" s="739">
        <f>((MIN(AB427:AG428)+0.15*AB424)*AB418*AB419)/1000</f>
        <v>328.68020014610755</v>
      </c>
      <c r="AC429" s="740"/>
      <c r="AD429" s="740"/>
      <c r="AE429" s="740"/>
      <c r="AF429" s="740"/>
      <c r="AG429" s="740"/>
      <c r="AH429" s="720" t="s">
        <v>12</v>
      </c>
      <c r="AI429" s="720"/>
      <c r="AJ429" s="720"/>
      <c r="AK429" s="202"/>
      <c r="AL429" s="205"/>
    </row>
    <row r="430" spans="1:43" s="165" customFormat="1" x14ac:dyDescent="0.3">
      <c r="A430" s="162"/>
      <c r="B430" s="72"/>
      <c r="C430" s="768">
        <v>13</v>
      </c>
      <c r="D430" s="769"/>
      <c r="E430" s="242" t="s">
        <v>222</v>
      </c>
      <c r="F430" s="243"/>
      <c r="G430" s="243"/>
      <c r="H430" s="243"/>
      <c r="I430" s="243"/>
      <c r="J430" s="243"/>
      <c r="K430" s="243"/>
      <c r="L430" s="243"/>
      <c r="M430" s="243"/>
      <c r="N430" s="243"/>
      <c r="O430" s="243"/>
      <c r="P430" s="243"/>
      <c r="Q430" s="243"/>
      <c r="R430" s="243"/>
      <c r="S430" s="243"/>
      <c r="T430" s="243"/>
      <c r="U430" s="243"/>
      <c r="V430" s="243"/>
      <c r="W430" s="243"/>
      <c r="X430" s="243"/>
      <c r="Y430" s="243"/>
      <c r="Z430" s="243"/>
      <c r="AA430" s="244"/>
      <c r="AB430" s="741" t="str">
        <f>IF(AJ350&gt;AB429,"Yes","No")</f>
        <v>No</v>
      </c>
      <c r="AC430" s="742"/>
      <c r="AD430" s="742"/>
      <c r="AE430" s="742"/>
      <c r="AF430" s="742"/>
      <c r="AG430" s="742"/>
      <c r="AH430" s="166"/>
      <c r="AI430" s="166"/>
      <c r="AJ430" s="166"/>
      <c r="AK430" s="199"/>
      <c r="AL430" s="203"/>
    </row>
    <row r="431" spans="1:43" s="165" customFormat="1" ht="14.5" x14ac:dyDescent="0.35">
      <c r="A431" s="162"/>
      <c r="B431" s="72"/>
      <c r="C431" s="245"/>
      <c r="D431" s="246"/>
      <c r="E431" s="246" t="s">
        <v>223</v>
      </c>
      <c r="F431" s="246"/>
      <c r="G431" s="246"/>
      <c r="H431" s="246"/>
      <c r="I431" s="246"/>
      <c r="J431" s="246"/>
      <c r="K431" s="246"/>
      <c r="L431" s="246"/>
      <c r="M431" s="246"/>
      <c r="N431" s="246"/>
      <c r="O431" s="246"/>
      <c r="P431" s="246"/>
      <c r="Q431" s="246"/>
      <c r="R431" s="246"/>
      <c r="S431" s="246"/>
      <c r="T431" s="246"/>
      <c r="U431" s="246"/>
      <c r="V431" s="246"/>
      <c r="W431" s="246"/>
      <c r="X431" s="246"/>
      <c r="Y431" s="246"/>
      <c r="Z431" s="246"/>
      <c r="AA431" s="246"/>
      <c r="AB431" s="246"/>
      <c r="AC431" s="246"/>
      <c r="AD431" s="246"/>
      <c r="AE431" s="246"/>
      <c r="AF431" s="246"/>
      <c r="AG431" s="246"/>
      <c r="AH431" s="246"/>
      <c r="AI431" s="246"/>
      <c r="AJ431" s="246"/>
      <c r="AK431" s="246"/>
      <c r="AL431" s="247"/>
    </row>
    <row r="432" spans="1:43" s="165" customFormat="1" x14ac:dyDescent="0.3">
      <c r="A432" s="162"/>
      <c r="B432" s="72"/>
      <c r="C432" s="904">
        <v>14</v>
      </c>
      <c r="D432" s="905"/>
      <c r="E432" s="248" t="s">
        <v>224</v>
      </c>
      <c r="F432" s="249"/>
      <c r="G432" s="249"/>
      <c r="H432" s="249"/>
      <c r="I432" s="249"/>
      <c r="J432" s="249"/>
      <c r="K432" s="249"/>
      <c r="L432" s="249"/>
      <c r="M432" s="249"/>
      <c r="N432" s="249"/>
      <c r="O432" s="249"/>
      <c r="P432" s="249"/>
      <c r="Q432" s="249"/>
      <c r="R432" s="249"/>
      <c r="S432" s="249"/>
      <c r="T432" s="249"/>
      <c r="U432" s="249"/>
      <c r="V432" s="249"/>
      <c r="W432" s="249"/>
      <c r="X432" s="249"/>
      <c r="Y432" s="249"/>
      <c r="Z432" s="249"/>
      <c r="AA432" s="250"/>
      <c r="AB432" s="663">
        <f>IF(AB417&lt;AB429,0,AB417-AB429)</f>
        <v>0</v>
      </c>
      <c r="AC432" s="664"/>
      <c r="AD432" s="664"/>
      <c r="AE432" s="664"/>
      <c r="AF432" s="664"/>
      <c r="AG432" s="664"/>
      <c r="AH432" s="665" t="s">
        <v>12</v>
      </c>
      <c r="AI432" s="665"/>
      <c r="AJ432" s="665"/>
      <c r="AK432" s="198"/>
      <c r="AL432" s="204"/>
    </row>
    <row r="433" spans="1:72" s="165" customFormat="1" ht="14.5" x14ac:dyDescent="0.35">
      <c r="A433" s="162"/>
      <c r="B433" s="72"/>
      <c r="C433" s="768">
        <v>15</v>
      </c>
      <c r="D433" s="769"/>
      <c r="E433" s="222" t="s">
        <v>225</v>
      </c>
      <c r="F433" s="223"/>
      <c r="G433" s="223"/>
      <c r="H433" s="223"/>
      <c r="I433" s="223"/>
      <c r="J433" s="223"/>
      <c r="K433" s="223"/>
      <c r="L433" s="223"/>
      <c r="M433" s="223"/>
      <c r="N433" s="223"/>
      <c r="O433" s="223"/>
      <c r="P433" s="223"/>
      <c r="Q433" s="223"/>
      <c r="R433" s="223"/>
      <c r="S433" s="223"/>
      <c r="T433" s="223"/>
      <c r="U433" s="223"/>
      <c r="V433" s="223"/>
      <c r="W433" s="223"/>
      <c r="X433" s="223"/>
      <c r="Y433" s="223"/>
      <c r="Z433" s="223"/>
      <c r="AA433" s="224"/>
      <c r="AB433" s="779">
        <v>0</v>
      </c>
      <c r="AC433" s="780"/>
      <c r="AD433" s="780"/>
      <c r="AE433" s="780"/>
      <c r="AF433" s="780"/>
      <c r="AG433" s="780"/>
      <c r="AH433" s="720" t="s">
        <v>2</v>
      </c>
      <c r="AI433" s="720"/>
      <c r="AJ433" s="720"/>
      <c r="AK433" s="202"/>
      <c r="AL433" s="205"/>
    </row>
    <row r="434" spans="1:72" s="165" customFormat="1" ht="14.5" x14ac:dyDescent="0.35">
      <c r="A434" s="162"/>
      <c r="B434" s="72"/>
      <c r="C434" s="768">
        <v>16</v>
      </c>
      <c r="D434" s="769"/>
      <c r="E434" s="222" t="s">
        <v>226</v>
      </c>
      <c r="F434" s="223"/>
      <c r="G434" s="223"/>
      <c r="H434" s="223"/>
      <c r="I434" s="223"/>
      <c r="J434" s="223"/>
      <c r="K434" s="223"/>
      <c r="L434" s="223"/>
      <c r="M434" s="223"/>
      <c r="N434" s="223"/>
      <c r="O434" s="223"/>
      <c r="P434" s="223"/>
      <c r="Q434" s="223"/>
      <c r="R434" s="223"/>
      <c r="S434" s="223"/>
      <c r="T434" s="223"/>
      <c r="U434" s="223"/>
      <c r="V434" s="223"/>
      <c r="W434" s="223"/>
      <c r="X434" s="223"/>
      <c r="Y434" s="223"/>
      <c r="Z434" s="223"/>
      <c r="AA434" s="224"/>
      <c r="AB434" s="779">
        <v>1</v>
      </c>
      <c r="AC434" s="780"/>
      <c r="AD434" s="780"/>
      <c r="AE434" s="780"/>
      <c r="AF434" s="780"/>
      <c r="AG434" s="780"/>
      <c r="AH434" s="720"/>
      <c r="AI434" s="720"/>
      <c r="AJ434" s="720"/>
      <c r="AK434" s="202"/>
      <c r="AL434" s="205"/>
    </row>
    <row r="435" spans="1:72" s="165" customFormat="1" ht="14.5" x14ac:dyDescent="0.35">
      <c r="A435" s="162"/>
      <c r="B435" s="72"/>
      <c r="C435" s="768">
        <v>17</v>
      </c>
      <c r="D435" s="769"/>
      <c r="E435" s="222" t="s">
        <v>227</v>
      </c>
      <c r="F435" s="223"/>
      <c r="G435" s="223"/>
      <c r="H435" s="223"/>
      <c r="I435" s="223"/>
      <c r="J435" s="223"/>
      <c r="K435" s="223"/>
      <c r="L435" s="223"/>
      <c r="M435" s="223"/>
      <c r="N435" s="223"/>
      <c r="O435" s="223"/>
      <c r="P435" s="223"/>
      <c r="Q435" s="223"/>
      <c r="R435" s="223"/>
      <c r="S435" s="223"/>
      <c r="T435" s="223"/>
      <c r="U435" s="223"/>
      <c r="V435" s="223"/>
      <c r="W435" s="223"/>
      <c r="X435" s="223"/>
      <c r="Y435" s="223"/>
      <c r="Z435" s="223"/>
      <c r="AA435" s="224"/>
      <c r="AB435" s="779">
        <v>0</v>
      </c>
      <c r="AC435" s="780"/>
      <c r="AD435" s="780"/>
      <c r="AE435" s="780"/>
      <c r="AF435" s="780"/>
      <c r="AG435" s="780"/>
      <c r="AH435" s="720" t="s">
        <v>2</v>
      </c>
      <c r="AI435" s="720"/>
      <c r="AJ435" s="720"/>
      <c r="AK435" s="202"/>
      <c r="AL435" s="205"/>
    </row>
    <row r="436" spans="1:72" s="165" customFormat="1" ht="16" x14ac:dyDescent="0.3">
      <c r="A436" s="162"/>
      <c r="B436" s="72"/>
      <c r="C436" s="768">
        <v>18</v>
      </c>
      <c r="D436" s="769"/>
      <c r="E436" s="211" t="s">
        <v>228</v>
      </c>
      <c r="F436" s="184"/>
      <c r="G436" s="184"/>
      <c r="H436" s="184"/>
      <c r="I436" s="184"/>
      <c r="J436" s="184"/>
      <c r="K436" s="184"/>
      <c r="L436" s="184"/>
      <c r="M436" s="184"/>
      <c r="N436" s="184"/>
      <c r="O436" s="202"/>
      <c r="P436" s="202"/>
      <c r="Q436" s="202"/>
      <c r="R436" s="202"/>
      <c r="S436" s="202"/>
      <c r="T436" s="202"/>
      <c r="U436" s="202"/>
      <c r="V436" s="202"/>
      <c r="W436" s="202"/>
      <c r="X436" s="202"/>
      <c r="Y436" s="202"/>
      <c r="Z436" s="202"/>
      <c r="AA436" s="205"/>
      <c r="AB436" s="781" t="str">
        <f>IF(AB432=0,"---",((PI()/4*AB434*(AB433^2)*1000)/AB435))</f>
        <v>---</v>
      </c>
      <c r="AC436" s="782"/>
      <c r="AD436" s="782"/>
      <c r="AE436" s="782"/>
      <c r="AF436" s="782"/>
      <c r="AG436" s="782"/>
      <c r="AH436" s="720" t="s">
        <v>199</v>
      </c>
      <c r="AI436" s="720"/>
      <c r="AJ436" s="720"/>
      <c r="AK436" s="202"/>
      <c r="AL436" s="205"/>
    </row>
    <row r="437" spans="1:72" s="165" customFormat="1" x14ac:dyDescent="0.3">
      <c r="A437" s="162"/>
      <c r="B437" s="72"/>
      <c r="C437" s="768">
        <v>19</v>
      </c>
      <c r="D437" s="769"/>
      <c r="E437" s="216" t="s">
        <v>229</v>
      </c>
      <c r="F437" s="217"/>
      <c r="G437" s="217"/>
      <c r="H437" s="217"/>
      <c r="I437" s="217"/>
      <c r="J437" s="217"/>
      <c r="K437" s="217"/>
      <c r="L437" s="217"/>
      <c r="M437" s="217"/>
      <c r="N437" s="217"/>
      <c r="O437" s="202"/>
      <c r="P437" s="202"/>
      <c r="Q437" s="202"/>
      <c r="R437" s="202"/>
      <c r="S437" s="202"/>
      <c r="T437" s="202"/>
      <c r="U437" s="202"/>
      <c r="V437" s="202"/>
      <c r="W437" s="202"/>
      <c r="X437" s="202"/>
      <c r="Y437" s="202"/>
      <c r="Z437" s="202"/>
      <c r="AA437" s="205"/>
      <c r="AB437" s="781" t="str">
        <f>IF(AB432=0,"---",(AB436/((3.14*AB434*AB433^2)/4)))</f>
        <v>---</v>
      </c>
      <c r="AC437" s="782"/>
      <c r="AD437" s="782"/>
      <c r="AE437" s="782"/>
      <c r="AF437" s="782"/>
      <c r="AG437" s="782"/>
      <c r="AH437" s="720"/>
      <c r="AI437" s="720"/>
      <c r="AJ437" s="720"/>
      <c r="AK437" s="202"/>
      <c r="AL437" s="205"/>
    </row>
    <row r="438" spans="1:72" s="165" customFormat="1" ht="17" x14ac:dyDescent="0.45">
      <c r="A438" s="162"/>
      <c r="B438" s="72"/>
      <c r="C438" s="768">
        <v>20</v>
      </c>
      <c r="D438" s="769"/>
      <c r="E438" s="226" t="s">
        <v>230</v>
      </c>
      <c r="F438" s="227"/>
      <c r="G438" s="227"/>
      <c r="H438" s="227"/>
      <c r="I438" s="227"/>
      <c r="J438" s="227"/>
      <c r="K438" s="227"/>
      <c r="L438" s="227"/>
      <c r="M438" s="227"/>
      <c r="N438" s="227"/>
      <c r="O438" s="202"/>
      <c r="P438" s="202"/>
      <c r="Q438" s="202"/>
      <c r="R438" s="202"/>
      <c r="S438" s="202"/>
      <c r="T438" s="202"/>
      <c r="U438" s="202"/>
      <c r="V438" s="202"/>
      <c r="W438" s="202"/>
      <c r="X438" s="202"/>
      <c r="Y438" s="202"/>
      <c r="Z438" s="202"/>
      <c r="AA438" s="205"/>
      <c r="AB438" s="745">
        <v>1.2</v>
      </c>
      <c r="AC438" s="746"/>
      <c r="AD438" s="746"/>
      <c r="AE438" s="746"/>
      <c r="AF438" s="746"/>
      <c r="AG438" s="746"/>
      <c r="AH438" s="720"/>
      <c r="AI438" s="720"/>
      <c r="AJ438" s="720"/>
      <c r="AK438" s="202"/>
      <c r="AL438" s="205"/>
    </row>
    <row r="439" spans="1:72" s="165" customFormat="1" ht="14.5" x14ac:dyDescent="0.35">
      <c r="A439" s="162"/>
      <c r="B439" s="72"/>
      <c r="C439" s="768">
        <v>21</v>
      </c>
      <c r="D439" s="769"/>
      <c r="E439" s="222" t="s">
        <v>231</v>
      </c>
      <c r="F439" s="223"/>
      <c r="G439" s="223"/>
      <c r="H439" s="223"/>
      <c r="I439" s="223"/>
      <c r="J439" s="223"/>
      <c r="K439" s="223"/>
      <c r="L439" s="223"/>
      <c r="M439" s="223"/>
      <c r="N439" s="223"/>
      <c r="O439" s="202"/>
      <c r="P439" s="202"/>
      <c r="Q439" s="202"/>
      <c r="R439" s="202"/>
      <c r="S439" s="202"/>
      <c r="T439" s="202"/>
      <c r="U439" s="202"/>
      <c r="V439" s="202"/>
      <c r="W439" s="202"/>
      <c r="X439" s="202"/>
      <c r="Y439" s="144"/>
      <c r="Z439" s="144"/>
      <c r="AA439" s="105"/>
      <c r="AB439" s="777" t="str">
        <f>IF(AB432=0,"---",(0.9*T113*1000))</f>
        <v>---</v>
      </c>
      <c r="AC439" s="778"/>
      <c r="AD439" s="778"/>
      <c r="AE439" s="778"/>
      <c r="AF439" s="778"/>
      <c r="AG439" s="778"/>
      <c r="AH439" s="720" t="s">
        <v>2</v>
      </c>
      <c r="AI439" s="720"/>
      <c r="AJ439" s="720"/>
      <c r="AK439" s="202"/>
      <c r="AL439" s="205"/>
    </row>
    <row r="440" spans="1:72" s="165" customFormat="1" ht="16.5" x14ac:dyDescent="0.45">
      <c r="A440" s="162"/>
      <c r="B440" s="72"/>
      <c r="C440" s="768">
        <v>22</v>
      </c>
      <c r="D440" s="769"/>
      <c r="E440" s="222" t="s">
        <v>232</v>
      </c>
      <c r="F440" s="223"/>
      <c r="G440" s="223"/>
      <c r="H440" s="223"/>
      <c r="I440" s="223"/>
      <c r="J440" s="223"/>
      <c r="K440" s="223"/>
      <c r="L440" s="223"/>
      <c r="M440" s="223"/>
      <c r="N440" s="223"/>
      <c r="O440" s="202"/>
      <c r="P440" s="202"/>
      <c r="Q440" s="202"/>
      <c r="R440" s="202"/>
      <c r="S440" s="202"/>
      <c r="T440" s="202"/>
      <c r="U440" s="202"/>
      <c r="V440" s="202"/>
      <c r="W440" s="202"/>
      <c r="X440" s="202"/>
      <c r="Y440" s="202"/>
      <c r="Z440" s="202"/>
      <c r="AA440" s="205"/>
      <c r="AB440" s="713" t="str">
        <f>IF(AB432=0,"---",AB420)</f>
        <v>---</v>
      </c>
      <c r="AC440" s="714"/>
      <c r="AD440" s="714"/>
      <c r="AE440" s="714"/>
      <c r="AF440" s="714"/>
      <c r="AG440" s="714"/>
      <c r="AH440" s="720"/>
      <c r="AI440" s="720"/>
      <c r="AJ440" s="720"/>
      <c r="AK440" s="202"/>
      <c r="AL440" s="205"/>
    </row>
    <row r="441" spans="1:72" s="165" customFormat="1" ht="14.5" x14ac:dyDescent="0.35">
      <c r="A441" s="162"/>
      <c r="B441" s="72"/>
      <c r="C441" s="768">
        <v>23</v>
      </c>
      <c r="D441" s="769"/>
      <c r="E441" s="228" t="s">
        <v>233</v>
      </c>
      <c r="F441" s="229"/>
      <c r="G441" s="229"/>
      <c r="H441" s="229"/>
      <c r="I441" s="229"/>
      <c r="J441" s="229"/>
      <c r="K441" s="229"/>
      <c r="L441" s="229"/>
      <c r="M441" s="229"/>
      <c r="N441" s="229"/>
      <c r="O441" s="202"/>
      <c r="P441" s="202"/>
      <c r="Q441" s="202"/>
      <c r="R441" s="202"/>
      <c r="S441" s="202"/>
      <c r="T441" s="202"/>
      <c r="U441" s="202"/>
      <c r="V441" s="202"/>
      <c r="W441" s="202"/>
      <c r="X441" s="202"/>
      <c r="Y441" s="202"/>
      <c r="Z441" s="202"/>
      <c r="AA441" s="205"/>
      <c r="AB441" s="777">
        <f>IF(AB432&lt;(0.115*AB420*U43),21.8,45)</f>
        <v>21.8</v>
      </c>
      <c r="AC441" s="778"/>
      <c r="AD441" s="778"/>
      <c r="AE441" s="778"/>
      <c r="AF441" s="778"/>
      <c r="AG441" s="778"/>
      <c r="AH441" s="720" t="s">
        <v>172</v>
      </c>
      <c r="AI441" s="720"/>
      <c r="AJ441" s="720"/>
      <c r="AK441" s="202"/>
      <c r="AL441" s="205"/>
    </row>
    <row r="442" spans="1:72" s="165" customFormat="1" ht="14.5" x14ac:dyDescent="0.35">
      <c r="A442" s="162"/>
      <c r="B442" s="72"/>
      <c r="C442" s="768">
        <v>24</v>
      </c>
      <c r="D442" s="769"/>
      <c r="E442" s="222" t="s">
        <v>234</v>
      </c>
      <c r="F442" s="223"/>
      <c r="G442" s="223"/>
      <c r="H442" s="223"/>
      <c r="I442" s="223"/>
      <c r="J442" s="223"/>
      <c r="K442" s="223"/>
      <c r="L442" s="223"/>
      <c r="M442" s="223"/>
      <c r="N442" s="223"/>
      <c r="O442" s="202"/>
      <c r="P442" s="202"/>
      <c r="Q442" s="202"/>
      <c r="R442" s="202"/>
      <c r="S442" s="202"/>
      <c r="T442" s="202"/>
      <c r="U442" s="202"/>
      <c r="V442" s="202"/>
      <c r="W442" s="202"/>
      <c r="X442" s="202"/>
      <c r="Y442" s="202"/>
      <c r="Z442" s="202"/>
      <c r="AA442" s="205"/>
      <c r="AB442" s="713">
        <f>(COS(AB441*(PI()/180)))/(SIN(AB441*(PI()/180)))</f>
        <v>2.5001783622570013</v>
      </c>
      <c r="AC442" s="714"/>
      <c r="AD442" s="714"/>
      <c r="AE442" s="714"/>
      <c r="AF442" s="714"/>
      <c r="AG442" s="714"/>
      <c r="AH442" s="720" t="s">
        <v>172</v>
      </c>
      <c r="AI442" s="720"/>
      <c r="AJ442" s="720"/>
      <c r="AK442" s="202"/>
      <c r="AL442" s="205"/>
    </row>
    <row r="443" spans="1:72" s="165" customFormat="1" ht="14.5" x14ac:dyDescent="0.35">
      <c r="A443" s="162"/>
      <c r="B443" s="72"/>
      <c r="C443" s="768">
        <v>25</v>
      </c>
      <c r="D443" s="769"/>
      <c r="E443" s="222" t="s">
        <v>235</v>
      </c>
      <c r="F443" s="223"/>
      <c r="G443" s="223"/>
      <c r="H443" s="223"/>
      <c r="I443" s="223"/>
      <c r="J443" s="223"/>
      <c r="K443" s="223"/>
      <c r="L443" s="223"/>
      <c r="M443" s="223"/>
      <c r="N443" s="223"/>
      <c r="O443" s="202"/>
      <c r="P443" s="202"/>
      <c r="Q443" s="202"/>
      <c r="R443" s="202"/>
      <c r="S443" s="202"/>
      <c r="T443" s="202"/>
      <c r="U443" s="202"/>
      <c r="V443" s="202"/>
      <c r="W443" s="202"/>
      <c r="X443" s="202"/>
      <c r="Y443" s="202"/>
      <c r="Z443" s="202"/>
      <c r="AA443" s="205"/>
      <c r="AB443" s="713">
        <f>TAN(AB441*(PI()/180))</f>
        <v>0.39997146407477258</v>
      </c>
      <c r="AC443" s="714"/>
      <c r="AD443" s="714"/>
      <c r="AE443" s="714"/>
      <c r="AF443" s="714"/>
      <c r="AG443" s="714"/>
      <c r="AH443" s="720" t="s">
        <v>172</v>
      </c>
      <c r="AI443" s="720"/>
      <c r="AJ443" s="720"/>
      <c r="AK443" s="202"/>
      <c r="AL443" s="205"/>
    </row>
    <row r="444" spans="1:72" s="165" customFormat="1" ht="17" x14ac:dyDescent="0.45">
      <c r="A444" s="162"/>
      <c r="B444" s="72"/>
      <c r="C444" s="768">
        <v>26</v>
      </c>
      <c r="D444" s="769"/>
      <c r="E444" s="216" t="s">
        <v>236</v>
      </c>
      <c r="F444" s="217"/>
      <c r="G444" s="217"/>
      <c r="H444" s="217"/>
      <c r="I444" s="217"/>
      <c r="J444" s="217"/>
      <c r="K444" s="217"/>
      <c r="L444" s="217"/>
      <c r="M444" s="217"/>
      <c r="N444" s="217"/>
      <c r="O444" s="202"/>
      <c r="P444" s="202"/>
      <c r="Q444" s="202"/>
      <c r="R444" s="202"/>
      <c r="S444" s="202"/>
      <c r="T444" s="202"/>
      <c r="U444" s="202"/>
      <c r="V444" s="202"/>
      <c r="W444" s="202"/>
      <c r="X444" s="202"/>
      <c r="Y444" s="202"/>
      <c r="Z444" s="202"/>
      <c r="AA444" s="205"/>
      <c r="AB444" s="739" t="str">
        <f>IF(AB432=0,"---",(((AB436/AB435)*(AB439)*U46*AB442)/1000))</f>
        <v>---</v>
      </c>
      <c r="AC444" s="740"/>
      <c r="AD444" s="740"/>
      <c r="AE444" s="740"/>
      <c r="AF444" s="740"/>
      <c r="AG444" s="740"/>
      <c r="AH444" s="720" t="s">
        <v>12</v>
      </c>
      <c r="AI444" s="720"/>
      <c r="AJ444" s="720"/>
      <c r="AK444" s="202"/>
      <c r="AL444" s="205"/>
    </row>
    <row r="445" spans="1:72" s="165" customFormat="1" ht="16.5" x14ac:dyDescent="0.45">
      <c r="A445" s="162"/>
      <c r="B445" s="72"/>
      <c r="C445" s="768">
        <v>27</v>
      </c>
      <c r="D445" s="769"/>
      <c r="E445" s="222" t="s">
        <v>237</v>
      </c>
      <c r="F445" s="230"/>
      <c r="G445" s="230"/>
      <c r="H445" s="230"/>
      <c r="I445" s="230"/>
      <c r="J445" s="230"/>
      <c r="K445" s="230"/>
      <c r="L445" s="230"/>
      <c r="M445" s="230"/>
      <c r="N445" s="230"/>
      <c r="O445" s="202"/>
      <c r="P445" s="202"/>
      <c r="Q445" s="202"/>
      <c r="R445" s="202"/>
      <c r="S445" s="202"/>
      <c r="T445" s="202"/>
      <c r="U445" s="202"/>
      <c r="V445" s="202"/>
      <c r="W445" s="202"/>
      <c r="X445" s="202"/>
      <c r="Y445" s="202"/>
      <c r="Z445" s="202"/>
      <c r="AA445" s="205"/>
      <c r="AB445" s="702" t="str">
        <f>IF(AB432=0,"---",((AB438*AB418*AB439*AB440*(U53/(AB442+AB443)))/1000))</f>
        <v>---</v>
      </c>
      <c r="AC445" s="703"/>
      <c r="AD445" s="703"/>
      <c r="AE445" s="703"/>
      <c r="AF445" s="703"/>
      <c r="AG445" s="703"/>
      <c r="AH445" s="729" t="s">
        <v>12</v>
      </c>
      <c r="AI445" s="729"/>
      <c r="AJ445" s="729"/>
      <c r="AK445" s="202"/>
      <c r="AL445" s="205"/>
      <c r="AS445" s="283"/>
      <c r="AT445" s="283"/>
      <c r="AU445" s="283"/>
      <c r="AV445" s="283"/>
      <c r="AW445" s="399"/>
      <c r="AX445" s="399"/>
      <c r="AY445" s="283"/>
      <c r="AZ445" s="283"/>
      <c r="BA445" s="283"/>
      <c r="BB445" s="283"/>
      <c r="BC445" s="697">
        <f>AE270</f>
        <v>83.400065737972241</v>
      </c>
      <c r="BD445" s="697"/>
      <c r="BE445" s="697"/>
      <c r="BH445" s="283"/>
      <c r="BI445" s="283"/>
      <c r="BJ445" s="283"/>
      <c r="BK445" s="283"/>
      <c r="BL445" s="399"/>
      <c r="BM445" s="399"/>
      <c r="BN445" s="283"/>
      <c r="BO445" s="283"/>
      <c r="BP445" s="283"/>
      <c r="BQ445" s="283"/>
      <c r="BR445" s="697">
        <f>AE286</f>
        <v>87.421666869078393</v>
      </c>
      <c r="BS445" s="697"/>
      <c r="BT445" s="697"/>
    </row>
    <row r="446" spans="1:72" s="165" customFormat="1" ht="14.5" x14ac:dyDescent="0.35">
      <c r="A446" s="162"/>
      <c r="B446" s="72"/>
      <c r="C446" s="783">
        <v>28</v>
      </c>
      <c r="D446" s="784"/>
      <c r="E446" s="216" t="s">
        <v>238</v>
      </c>
      <c r="F446" s="217"/>
      <c r="G446" s="217"/>
      <c r="H446" s="217"/>
      <c r="I446" s="217"/>
      <c r="J446" s="217"/>
      <c r="K446" s="217"/>
      <c r="L446" s="217"/>
      <c r="M446" s="217"/>
      <c r="N446" s="217"/>
      <c r="O446" s="202"/>
      <c r="P446" s="202"/>
      <c r="Q446" s="202"/>
      <c r="R446" s="202"/>
      <c r="S446" s="202"/>
      <c r="T446" s="202"/>
      <c r="U446" s="202"/>
      <c r="V446" s="202"/>
      <c r="W446" s="202"/>
      <c r="X446" s="202"/>
      <c r="Y446" s="202"/>
      <c r="Z446" s="202"/>
      <c r="AA446" s="205"/>
      <c r="AB446" s="739">
        <f>MIN(AB444:AG445)</f>
        <v>0</v>
      </c>
      <c r="AC446" s="740"/>
      <c r="AD446" s="740"/>
      <c r="AE446" s="740"/>
      <c r="AF446" s="740"/>
      <c r="AG446" s="740"/>
      <c r="AH446" s="720" t="s">
        <v>12</v>
      </c>
      <c r="AI446" s="720"/>
      <c r="AJ446" s="720"/>
      <c r="AK446" s="202"/>
      <c r="AL446" s="241"/>
      <c r="AM446" s="705" t="str">
        <f>IF(AB432=0,"---",(IF(AB432&gt;AB446,"NOT Safe"," Safe")))</f>
        <v>---</v>
      </c>
      <c r="AN446" s="706"/>
      <c r="AO446" s="706"/>
      <c r="AP446" s="706"/>
      <c r="AQ446" s="707"/>
      <c r="AS446" s="697">
        <f>AE274</f>
        <v>78.885223138212112</v>
      </c>
      <c r="AT446" s="697"/>
      <c r="AU446" s="697"/>
      <c r="AV446" s="283"/>
      <c r="AW446" s="399"/>
      <c r="AX446" s="399"/>
      <c r="AY446" s="283"/>
      <c r="AZ446" s="283"/>
      <c r="BA446" s="285"/>
      <c r="BB446" s="285"/>
      <c r="BC446" s="291" t="s">
        <v>10</v>
      </c>
      <c r="BD446" s="286"/>
      <c r="BE446" s="283"/>
      <c r="BH446" s="697">
        <f>AE290</f>
        <v>80.49386359065457</v>
      </c>
      <c r="BI446" s="697"/>
      <c r="BJ446" s="697"/>
      <c r="BK446" s="283"/>
      <c r="BL446" s="399"/>
      <c r="BM446" s="399"/>
      <c r="BN446" s="283"/>
      <c r="BO446" s="283"/>
      <c r="BP446" s="285"/>
      <c r="BQ446" s="285"/>
      <c r="BR446" s="291" t="s">
        <v>10</v>
      </c>
      <c r="BS446" s="286"/>
      <c r="BT446" s="283"/>
    </row>
    <row r="447" spans="1:72" s="165" customFormat="1" ht="14.5" x14ac:dyDescent="0.35">
      <c r="A447" s="162"/>
      <c r="B447" s="72"/>
      <c r="C447" s="162"/>
      <c r="H447" s="73"/>
      <c r="AS447" s="291" t="s">
        <v>10</v>
      </c>
      <c r="AT447" s="283"/>
      <c r="AU447" s="283"/>
      <c r="AV447" s="283"/>
      <c r="AW447" s="399"/>
      <c r="AX447" s="399"/>
      <c r="AY447" s="283"/>
      <c r="AZ447" s="283"/>
      <c r="BA447" s="285"/>
      <c r="BB447" s="285"/>
      <c r="BC447" s="283"/>
      <c r="BD447" s="286"/>
      <c r="BE447" s="283"/>
      <c r="BH447" s="291" t="s">
        <v>10</v>
      </c>
      <c r="BI447" s="283"/>
      <c r="BJ447" s="283"/>
      <c r="BK447" s="283"/>
      <c r="BL447" s="399"/>
      <c r="BM447" s="399"/>
      <c r="BN447" s="283"/>
      <c r="BO447" s="283"/>
      <c r="BP447" s="285"/>
      <c r="BQ447" s="285"/>
      <c r="BR447" s="283"/>
      <c r="BS447" s="286"/>
      <c r="BT447" s="283"/>
    </row>
    <row r="448" spans="1:72" s="502" customFormat="1" ht="14.5" x14ac:dyDescent="0.35">
      <c r="A448" s="500"/>
      <c r="B448" s="72"/>
      <c r="C448" s="500"/>
      <c r="H448" s="73"/>
      <c r="AS448" s="291"/>
      <c r="AT448" s="283"/>
      <c r="AU448" s="283"/>
      <c r="AV448" s="283"/>
      <c r="AW448" s="507"/>
      <c r="AX448" s="507"/>
      <c r="AY448" s="283"/>
      <c r="AZ448" s="283"/>
      <c r="BA448" s="509"/>
      <c r="BB448" s="509"/>
      <c r="BC448" s="283"/>
      <c r="BD448" s="286"/>
      <c r="BE448" s="283"/>
      <c r="BH448" s="291"/>
      <c r="BI448" s="283"/>
      <c r="BJ448" s="283"/>
      <c r="BK448" s="283"/>
      <c r="BL448" s="507"/>
      <c r="BM448" s="507"/>
      <c r="BN448" s="283"/>
      <c r="BO448" s="283"/>
      <c r="BP448" s="509"/>
      <c r="BQ448" s="509"/>
      <c r="BR448" s="283"/>
      <c r="BS448" s="286"/>
      <c r="BT448" s="283"/>
    </row>
    <row r="449" spans="1:92" s="528" customFormat="1" ht="14.5" x14ac:dyDescent="0.35">
      <c r="A449" s="526"/>
      <c r="B449" s="72"/>
      <c r="C449" s="526"/>
      <c r="H449" s="73"/>
      <c r="AS449" s="291"/>
      <c r="AT449" s="283"/>
      <c r="AU449" s="283"/>
      <c r="AV449" s="283"/>
      <c r="AW449" s="534"/>
      <c r="AX449" s="534"/>
      <c r="AY449" s="283"/>
      <c r="AZ449" s="283"/>
      <c r="BA449" s="533"/>
      <c r="BB449" s="533"/>
      <c r="BC449" s="283"/>
      <c r="BD449" s="286"/>
      <c r="BE449" s="283"/>
      <c r="BH449" s="291"/>
      <c r="BI449" s="283"/>
      <c r="BJ449" s="283"/>
      <c r="BK449" s="283"/>
      <c r="BL449" s="534"/>
      <c r="BM449" s="534"/>
      <c r="BN449" s="283"/>
      <c r="BO449" s="283"/>
      <c r="BP449" s="533"/>
      <c r="BQ449" s="533"/>
      <c r="BR449" s="283"/>
      <c r="BS449" s="286"/>
      <c r="BT449" s="283"/>
    </row>
    <row r="450" spans="1:92" s="528" customFormat="1" ht="14.5" x14ac:dyDescent="0.35">
      <c r="A450" s="526"/>
      <c r="B450" s="72"/>
      <c r="C450" s="526"/>
      <c r="H450" s="73"/>
      <c r="AS450" s="291"/>
      <c r="AT450" s="283"/>
      <c r="AU450" s="283"/>
      <c r="AV450" s="283"/>
      <c r="AW450" s="534"/>
      <c r="AX450" s="534"/>
      <c r="AY450" s="283"/>
      <c r="AZ450" s="283"/>
      <c r="BA450" s="533"/>
      <c r="BB450" s="533"/>
      <c r="BC450" s="283"/>
      <c r="BD450" s="286"/>
      <c r="BE450" s="283"/>
      <c r="BH450" s="291"/>
      <c r="BI450" s="283"/>
      <c r="BJ450" s="283"/>
      <c r="BK450" s="283"/>
      <c r="BL450" s="534"/>
      <c r="BM450" s="534"/>
      <c r="BN450" s="283"/>
      <c r="BO450" s="283"/>
      <c r="BP450" s="533"/>
      <c r="BQ450" s="533"/>
      <c r="BR450" s="283"/>
      <c r="BS450" s="286"/>
      <c r="BT450" s="283"/>
    </row>
    <row r="451" spans="1:92" s="528" customFormat="1" ht="14.5" hidden="1" x14ac:dyDescent="0.35">
      <c r="A451" s="526"/>
      <c r="B451" s="72"/>
      <c r="C451" s="526"/>
      <c r="H451" s="73"/>
      <c r="AS451" s="291"/>
      <c r="AT451" s="283"/>
      <c r="AU451" s="283"/>
      <c r="AV451" s="283"/>
      <c r="AW451" s="534"/>
      <c r="AX451" s="534"/>
      <c r="AY451" s="283"/>
      <c r="AZ451" s="283"/>
      <c r="BA451" s="533"/>
      <c r="BB451" s="533"/>
      <c r="BC451" s="283"/>
      <c r="BD451" s="286"/>
      <c r="BE451" s="283"/>
      <c r="BH451" s="291"/>
      <c r="BI451" s="283"/>
      <c r="BJ451" s="283"/>
      <c r="BK451" s="283"/>
      <c r="BL451" s="534"/>
      <c r="BM451" s="534"/>
      <c r="BN451" s="283"/>
      <c r="BO451" s="283"/>
      <c r="BP451" s="533"/>
      <c r="BQ451" s="533"/>
      <c r="BR451" s="283"/>
      <c r="BS451" s="286"/>
      <c r="BT451" s="283"/>
    </row>
    <row r="452" spans="1:92" s="528" customFormat="1" ht="14.5" hidden="1" x14ac:dyDescent="0.35">
      <c r="A452" s="526"/>
      <c r="B452" s="72"/>
      <c r="C452" s="526"/>
      <c r="H452" s="73"/>
      <c r="AS452" s="291"/>
      <c r="AT452" s="283"/>
      <c r="AU452" s="283"/>
      <c r="AV452" s="283"/>
      <c r="AW452" s="534"/>
      <c r="AX452" s="534"/>
      <c r="AY452" s="283"/>
      <c r="AZ452" s="283"/>
      <c r="BA452" s="533"/>
      <c r="BB452" s="533"/>
      <c r="BC452" s="283"/>
      <c r="BD452" s="286"/>
      <c r="BE452" s="283"/>
      <c r="BH452" s="291"/>
      <c r="BI452" s="283"/>
      <c r="BJ452" s="283"/>
      <c r="BK452" s="283"/>
      <c r="BL452" s="534"/>
      <c r="BM452" s="534"/>
      <c r="BN452" s="283"/>
      <c r="BO452" s="283"/>
      <c r="BP452" s="533"/>
      <c r="BQ452" s="533"/>
      <c r="BR452" s="283"/>
      <c r="BS452" s="286"/>
      <c r="BT452" s="283"/>
    </row>
    <row r="453" spans="1:92" s="528" customFormat="1" ht="14.5" hidden="1" x14ac:dyDescent="0.35">
      <c r="A453" s="526"/>
      <c r="B453" s="72"/>
      <c r="C453" s="526"/>
      <c r="H453" s="73"/>
      <c r="AS453" s="291"/>
      <c r="AT453" s="283"/>
      <c r="AU453" s="283"/>
      <c r="AV453" s="283"/>
      <c r="AW453" s="534"/>
      <c r="AX453" s="534"/>
      <c r="AY453" s="283"/>
      <c r="AZ453" s="283"/>
      <c r="BA453" s="533"/>
      <c r="BB453" s="533"/>
      <c r="BC453" s="283"/>
      <c r="BD453" s="286"/>
      <c r="BE453" s="283"/>
      <c r="BH453" s="291"/>
      <c r="BI453" s="283"/>
      <c r="BJ453" s="283"/>
      <c r="BK453" s="283"/>
      <c r="BL453" s="534"/>
      <c r="BM453" s="534"/>
      <c r="BN453" s="283"/>
      <c r="BO453" s="283"/>
      <c r="BP453" s="533"/>
      <c r="BQ453" s="533"/>
      <c r="BR453" s="283"/>
      <c r="BS453" s="286"/>
      <c r="BT453" s="283"/>
    </row>
    <row r="454" spans="1:92" s="502" customFormat="1" ht="14.5" hidden="1" x14ac:dyDescent="0.35">
      <c r="A454" s="500"/>
      <c r="B454" s="72"/>
      <c r="C454" s="500"/>
      <c r="H454" s="73"/>
      <c r="AS454" s="291"/>
      <c r="AT454" s="283"/>
      <c r="AU454" s="283"/>
      <c r="AV454" s="283"/>
      <c r="AW454" s="507"/>
      <c r="AX454" s="507"/>
      <c r="AY454" s="283"/>
      <c r="AZ454" s="283"/>
      <c r="BA454" s="509"/>
      <c r="BB454" s="509"/>
      <c r="BC454" s="283"/>
      <c r="BD454" s="286"/>
      <c r="BE454" s="283"/>
      <c r="BH454" s="291"/>
      <c r="BI454" s="283"/>
      <c r="BJ454" s="283"/>
      <c r="BK454" s="283"/>
      <c r="BL454" s="507"/>
      <c r="BM454" s="507"/>
      <c r="BN454" s="283"/>
      <c r="BO454" s="283"/>
      <c r="BP454" s="509"/>
      <c r="BQ454" s="509"/>
      <c r="BR454" s="283"/>
      <c r="BS454" s="286"/>
      <c r="BT454" s="283"/>
    </row>
    <row r="455" spans="1:92" s="165" customFormat="1" x14ac:dyDescent="0.25">
      <c r="A455" s="201"/>
      <c r="B455" s="201"/>
      <c r="C455" s="233" t="s">
        <v>394</v>
      </c>
      <c r="D455" s="196"/>
      <c r="E455" s="196"/>
      <c r="F455" s="196"/>
      <c r="G455" s="196"/>
      <c r="H455" s="196"/>
      <c r="I455" s="196"/>
      <c r="J455" s="196"/>
      <c r="K455" s="196"/>
      <c r="L455" s="196"/>
      <c r="M455" s="196"/>
      <c r="N455" s="196"/>
      <c r="O455" s="196"/>
      <c r="P455" s="196"/>
      <c r="Q455" s="196"/>
      <c r="R455" s="196"/>
      <c r="S455" s="196"/>
      <c r="T455" s="196"/>
      <c r="U455" s="196"/>
      <c r="V455" s="196"/>
      <c r="W455" s="196"/>
      <c r="X455" s="196"/>
      <c r="Y455" s="196"/>
      <c r="Z455" s="196"/>
      <c r="AA455" s="196"/>
      <c r="AB455" s="196"/>
      <c r="AC455" s="196"/>
      <c r="AD455" s="196"/>
      <c r="AE455" s="196"/>
      <c r="AF455" s="196"/>
      <c r="AG455" s="196"/>
      <c r="AH455" s="196"/>
      <c r="AI455" s="196"/>
      <c r="AJ455" s="196"/>
      <c r="AK455" s="196"/>
      <c r="AL455" s="196"/>
      <c r="AM455" s="196"/>
      <c r="AN455" s="196"/>
      <c r="AO455" s="196"/>
      <c r="AP455" s="196"/>
      <c r="AQ455" s="196"/>
      <c r="AR455" s="196"/>
      <c r="AS455" s="384"/>
      <c r="AT455" s="384"/>
      <c r="AU455" s="384"/>
      <c r="AV455" s="392" t="s">
        <v>412</v>
      </c>
      <c r="AW455" s="384"/>
      <c r="AX455" s="384"/>
      <c r="AY455" s="384"/>
      <c r="AZ455" s="384"/>
      <c r="BA455" s="384"/>
      <c r="BB455" s="384"/>
      <c r="BC455" s="384"/>
      <c r="BD455" s="384"/>
      <c r="BE455" s="384"/>
      <c r="BF455" s="196"/>
      <c r="BG455" s="196"/>
      <c r="BH455" s="384"/>
      <c r="BI455" s="384"/>
      <c r="BJ455" s="384"/>
      <c r="BK455" s="392" t="s">
        <v>412</v>
      </c>
      <c r="BL455" s="384"/>
      <c r="BM455" s="384"/>
      <c r="BN455" s="384"/>
      <c r="BO455" s="384"/>
      <c r="BP455" s="384"/>
      <c r="BQ455" s="384"/>
      <c r="BR455" s="384"/>
      <c r="BS455" s="384"/>
      <c r="BT455" s="384"/>
    </row>
    <row r="456" spans="1:92" s="165" customFormat="1" x14ac:dyDescent="0.35">
      <c r="A456" s="201"/>
      <c r="B456" s="201"/>
      <c r="C456" s="201"/>
      <c r="D456" s="196"/>
      <c r="E456" s="196"/>
      <c r="F456" s="37"/>
      <c r="G456" s="196"/>
      <c r="H456" s="196"/>
      <c r="I456" s="196"/>
      <c r="J456" s="196"/>
      <c r="K456" s="196"/>
      <c r="L456" s="196"/>
      <c r="M456" s="196"/>
      <c r="N456" s="196"/>
      <c r="O456" s="196"/>
      <c r="P456" s="196"/>
      <c r="Q456" s="196"/>
      <c r="R456" s="196"/>
      <c r="S456" s="196"/>
      <c r="T456" s="196"/>
      <c r="U456" s="196"/>
      <c r="V456" s="196"/>
      <c r="W456" s="196"/>
      <c r="X456" s="196"/>
      <c r="Y456" s="196"/>
      <c r="Z456" s="196"/>
      <c r="AA456" s="196"/>
      <c r="AB456" s="196"/>
      <c r="AC456" s="196"/>
      <c r="AD456" s="196"/>
      <c r="AE456" s="196"/>
      <c r="AF456" s="196"/>
      <c r="AG456" s="196"/>
      <c r="AH456" s="196"/>
      <c r="AI456" s="196"/>
      <c r="AJ456" s="196"/>
      <c r="AK456" s="196"/>
      <c r="AL456" s="196"/>
      <c r="AM456" s="196"/>
      <c r="AN456" s="196"/>
      <c r="AO456" s="196"/>
      <c r="AP456" s="196"/>
      <c r="AQ456" s="196"/>
      <c r="AR456" s="196"/>
      <c r="AS456" s="196"/>
      <c r="AT456" s="196"/>
      <c r="AU456" s="196"/>
      <c r="AV456" s="196"/>
      <c r="AW456" s="196"/>
      <c r="AX456" s="196"/>
      <c r="AY456" s="196"/>
      <c r="AZ456" s="196"/>
      <c r="BA456" s="196"/>
      <c r="BB456" s="196"/>
      <c r="BC456" s="196"/>
      <c r="BD456" s="196"/>
      <c r="BE456" s="196"/>
      <c r="BF456" s="196"/>
      <c r="BG456" s="196"/>
      <c r="BH456" s="196"/>
      <c r="BI456" s="196"/>
      <c r="BJ456" s="196"/>
      <c r="BK456" s="196"/>
      <c r="BL456" s="196"/>
      <c r="BM456" s="196"/>
      <c r="BN456" s="196"/>
      <c r="BO456" s="196"/>
      <c r="BP456" s="196"/>
      <c r="BQ456" s="196"/>
      <c r="BR456" s="196"/>
      <c r="BS456" s="196"/>
      <c r="BT456" s="196"/>
    </row>
    <row r="457" spans="1:92" s="165" customFormat="1" ht="15" customHeight="1" x14ac:dyDescent="0.35">
      <c r="A457" s="201"/>
      <c r="B457" s="201"/>
      <c r="C457" s="213" t="s">
        <v>343</v>
      </c>
      <c r="D457" s="201"/>
      <c r="E457" s="201"/>
      <c r="F457" s="40"/>
      <c r="G457" s="201"/>
      <c r="H457" s="201"/>
      <c r="I457" s="201"/>
      <c r="J457" s="201"/>
      <c r="K457" s="201" t="s">
        <v>0</v>
      </c>
      <c r="L457" s="692">
        <f>G104</f>
        <v>3.45</v>
      </c>
      <c r="M457" s="692"/>
      <c r="N457" s="158" t="s">
        <v>21</v>
      </c>
      <c r="O457" s="686">
        <f>Z113*0+1</f>
        <v>1</v>
      </c>
      <c r="P457" s="695"/>
      <c r="Q457" s="165" t="s">
        <v>21</v>
      </c>
      <c r="R457" s="704">
        <f>U69</f>
        <v>20</v>
      </c>
      <c r="S457" s="704"/>
      <c r="T457" s="384" t="s">
        <v>21</v>
      </c>
      <c r="U457" s="695">
        <f>J231</f>
        <v>1.5</v>
      </c>
      <c r="V457" s="695"/>
      <c r="W457" s="201" t="s">
        <v>25</v>
      </c>
      <c r="X457" s="692">
        <f>AVERAGE(G110,AD111)</f>
        <v>0.47500000000000003</v>
      </c>
      <c r="Y457" s="692"/>
      <c r="Z457" s="158" t="s">
        <v>21</v>
      </c>
      <c r="AA457" s="686">
        <f>O457</f>
        <v>1</v>
      </c>
      <c r="AB457" s="695"/>
      <c r="AC457" s="693">
        <f>U71</f>
        <v>25</v>
      </c>
      <c r="AD457" s="693"/>
      <c r="AE457" s="384" t="s">
        <v>21</v>
      </c>
      <c r="AF457" s="686">
        <f>J230</f>
        <v>1.35</v>
      </c>
      <c r="AG457" s="686"/>
      <c r="AH457" s="565" t="s">
        <v>25</v>
      </c>
      <c r="AI457" s="694">
        <f>IF(W146=0,0,1.2)</f>
        <v>1.2</v>
      </c>
      <c r="AJ457" s="694"/>
      <c r="AK457" s="562" t="s">
        <v>21</v>
      </c>
      <c r="AL457" s="696">
        <f>O457*0</f>
        <v>0</v>
      </c>
      <c r="AM457" s="694"/>
      <c r="AN457" s="562" t="s">
        <v>21</v>
      </c>
      <c r="AO457" s="694">
        <f>R457</f>
        <v>20</v>
      </c>
      <c r="AP457" s="694"/>
      <c r="AR457" s="106"/>
      <c r="AS457" s="379"/>
      <c r="AT457" s="670" t="s">
        <v>403</v>
      </c>
      <c r="AU457" s="670"/>
      <c r="AV457" s="670"/>
      <c r="AW457" s="670"/>
      <c r="AX457" s="670"/>
      <c r="AY457" s="670"/>
      <c r="AZ457" s="670"/>
      <c r="BA457" s="379"/>
      <c r="BB457" s="379"/>
      <c r="BC457" s="379"/>
      <c r="BD457" s="381"/>
      <c r="BE457" s="106"/>
      <c r="BF457" s="379"/>
      <c r="BG457" s="128" t="s">
        <v>410</v>
      </c>
      <c r="BH457" s="128"/>
      <c r="BI457" s="128"/>
      <c r="BJ457" s="128"/>
      <c r="BK457" s="128"/>
      <c r="BL457" s="128"/>
      <c r="BM457" s="128"/>
      <c r="BN457" s="379"/>
      <c r="BO457" s="379"/>
      <c r="BP457" s="379"/>
      <c r="BQ457" s="381"/>
      <c r="BR457" s="365"/>
      <c r="BS457" s="128" t="s">
        <v>410</v>
      </c>
      <c r="BT457" s="128"/>
      <c r="BU457" s="128"/>
      <c r="BV457" s="128"/>
      <c r="BW457" s="128"/>
      <c r="BX457" s="128"/>
      <c r="BY457" s="128"/>
      <c r="BZ457" s="365"/>
      <c r="CA457" s="365"/>
      <c r="CB457" s="365"/>
      <c r="CC457" s="365"/>
      <c r="CD457" s="365"/>
      <c r="CE457" s="365"/>
      <c r="CF457" s="365"/>
      <c r="CG457" s="365"/>
      <c r="CH457" s="365"/>
      <c r="CI457" s="365"/>
      <c r="CJ457" s="365"/>
      <c r="CK457" s="365"/>
      <c r="CL457" s="365"/>
      <c r="CM457" s="365"/>
      <c r="CN457" s="367"/>
    </row>
    <row r="458" spans="1:92" s="165" customFormat="1" x14ac:dyDescent="0.35">
      <c r="A458" s="201"/>
      <c r="B458" s="201"/>
      <c r="C458" s="213" t="s">
        <v>421</v>
      </c>
      <c r="D458" s="201"/>
      <c r="E458" s="201"/>
      <c r="F458" s="40"/>
      <c r="G458" s="201"/>
      <c r="H458" s="201"/>
      <c r="I458" s="201"/>
      <c r="J458" s="201"/>
      <c r="P458" s="384"/>
      <c r="Q458" s="384"/>
      <c r="R458" s="384"/>
      <c r="S458" s="384"/>
      <c r="T458" s="384"/>
      <c r="U458" s="384"/>
      <c r="V458" s="384"/>
      <c r="W458" s="383"/>
      <c r="X458" s="384"/>
      <c r="Y458" s="384"/>
      <c r="Z458" s="384"/>
      <c r="AA458" s="384"/>
      <c r="AB458" s="384"/>
      <c r="AC458" s="384"/>
      <c r="AD458" s="383"/>
      <c r="AE458" s="154"/>
      <c r="AF458" s="119"/>
      <c r="AG458" s="119"/>
      <c r="AH458" s="154"/>
      <c r="AI458" s="563"/>
      <c r="AJ458" s="563"/>
      <c r="AK458" s="564"/>
      <c r="AL458" s="563"/>
      <c r="AM458" s="563"/>
      <c r="AN458" s="562" t="s">
        <v>21</v>
      </c>
      <c r="AO458" s="696">
        <f>J232</f>
        <v>1.2</v>
      </c>
      <c r="AP458" s="696"/>
      <c r="AQ458" s="196"/>
      <c r="AR458" s="125"/>
      <c r="AS458" s="383"/>
      <c r="AT458" s="383"/>
      <c r="AU458" s="383"/>
      <c r="AV458" s="383"/>
      <c r="AW458" s="383"/>
      <c r="AX458" s="383"/>
      <c r="AY458" s="383"/>
      <c r="AZ458" s="383"/>
      <c r="BA458" s="383"/>
      <c r="BB458" s="383"/>
      <c r="BC458" s="383"/>
      <c r="BD458" s="124"/>
      <c r="BE458" s="125"/>
      <c r="BF458" s="383"/>
      <c r="BG458" s="383"/>
      <c r="BH458" s="383"/>
      <c r="BI458" s="383"/>
      <c r="BJ458" s="383"/>
      <c r="BK458" s="383"/>
      <c r="BL458" s="383"/>
      <c r="BM458" s="383"/>
      <c r="BN458" s="383"/>
      <c r="BO458" s="383"/>
      <c r="BP458" s="383"/>
      <c r="BQ458" s="124"/>
      <c r="BR458" s="373"/>
      <c r="BS458" s="373"/>
      <c r="BT458" s="373"/>
      <c r="BU458" s="373"/>
      <c r="BV458" s="373"/>
      <c r="BW458" s="373"/>
      <c r="BX458" s="373"/>
      <c r="BY458" s="373"/>
      <c r="BZ458" s="373"/>
      <c r="CA458" s="373"/>
      <c r="CB458" s="373"/>
      <c r="CC458" s="373"/>
      <c r="CD458" s="373"/>
      <c r="CE458" s="373"/>
      <c r="CF458" s="373"/>
      <c r="CG458" s="373"/>
      <c r="CH458" s="373"/>
      <c r="CI458" s="373"/>
      <c r="CJ458" s="373"/>
      <c r="CK458" s="373"/>
      <c r="CL458" s="373"/>
      <c r="CM458" s="373"/>
      <c r="CN458" s="124"/>
    </row>
    <row r="459" spans="1:92" s="165" customFormat="1" x14ac:dyDescent="0.35">
      <c r="A459" s="201"/>
      <c r="B459" s="201"/>
      <c r="C459" s="201"/>
      <c r="D459" s="201"/>
      <c r="E459" s="201"/>
      <c r="F459" s="40"/>
      <c r="G459" s="201"/>
      <c r="H459" s="201"/>
      <c r="I459" s="201"/>
      <c r="J459" s="201"/>
      <c r="K459" s="201" t="s">
        <v>0</v>
      </c>
      <c r="L459" s="704">
        <f>L457*O457*R457*U457+X457*AA457*AC457*AF457+AI457*AL457*AO457*AO458</f>
        <v>119.53125</v>
      </c>
      <c r="M459" s="704"/>
      <c r="N459" s="704"/>
      <c r="O459" s="213" t="s">
        <v>10</v>
      </c>
      <c r="P459" s="201"/>
      <c r="Q459" s="201"/>
      <c r="R459" s="201"/>
      <c r="S459" s="201"/>
      <c r="T459" s="201"/>
      <c r="U459" s="201"/>
      <c r="V459" s="201"/>
      <c r="W459" s="201"/>
      <c r="X459" s="201"/>
      <c r="Y459" s="201"/>
      <c r="Z459" s="201"/>
      <c r="AA459" s="201"/>
      <c r="AB459" s="201"/>
      <c r="AC459" s="201"/>
      <c r="AD459" s="201"/>
      <c r="AP459" s="196"/>
      <c r="AQ459" s="196"/>
      <c r="AR459" s="390" t="s">
        <v>423</v>
      </c>
      <c r="AS459" s="213"/>
      <c r="AT459" s="325" t="s">
        <v>0</v>
      </c>
      <c r="AU459" s="692">
        <f>L457*O457*R457*P231+X457*AA457*AC457*P230+AI457*AL457*AO457*P232</f>
        <v>80.875</v>
      </c>
      <c r="AV459" s="692"/>
      <c r="AW459" s="692"/>
      <c r="AX459" s="325"/>
      <c r="AY459" s="325"/>
      <c r="AZ459" s="325"/>
      <c r="BA459" s="383"/>
      <c r="BB459" s="383"/>
      <c r="BC459" s="383"/>
      <c r="BD459" s="124"/>
      <c r="BE459" s="390" t="s">
        <v>423</v>
      </c>
      <c r="BF459" s="213"/>
      <c r="BG459" s="325" t="s">
        <v>0</v>
      </c>
      <c r="BH459" s="692">
        <f>L457*O457*R457*V231+X457*AA457*AC457*V230+AI457*AL457*AO457*V232</f>
        <v>80.875</v>
      </c>
      <c r="BI459" s="692"/>
      <c r="BJ459" s="692"/>
      <c r="BK459" s="692"/>
      <c r="BL459" s="325"/>
      <c r="BM459" s="325"/>
      <c r="BN459" s="383"/>
      <c r="BO459" s="383"/>
      <c r="BP459" s="383"/>
      <c r="BQ459" s="124"/>
      <c r="BR459" s="383"/>
      <c r="BS459" s="325"/>
      <c r="BT459" s="325"/>
      <c r="BU459" s="325"/>
      <c r="BV459" s="325"/>
      <c r="BW459" s="325"/>
      <c r="BX459" s="325"/>
      <c r="BY459" s="325"/>
      <c r="BZ459" s="383"/>
      <c r="CA459" s="383"/>
      <c r="CB459" s="383"/>
      <c r="CC459" s="383"/>
      <c r="CD459" s="383"/>
      <c r="CE459" s="383"/>
      <c r="CF459" s="383"/>
      <c r="CG459" s="383"/>
      <c r="CH459" s="383"/>
      <c r="CI459" s="383"/>
      <c r="CJ459" s="383"/>
      <c r="CK459" s="383"/>
      <c r="CL459" s="383"/>
      <c r="CM459" s="383"/>
      <c r="CN459" s="124"/>
    </row>
    <row r="460" spans="1:92" s="214" customFormat="1" x14ac:dyDescent="0.3">
      <c r="A460" s="215"/>
      <c r="B460" s="215"/>
      <c r="C460" s="383"/>
      <c r="D460" s="383"/>
      <c r="E460" s="383"/>
      <c r="F460" s="383"/>
      <c r="G460" s="383"/>
      <c r="H460" s="383"/>
      <c r="I460" s="383"/>
      <c r="J460" s="383"/>
      <c r="K460" s="389"/>
      <c r="L460" s="383"/>
      <c r="M460" s="287"/>
      <c r="N460" s="383"/>
      <c r="O460" s="388"/>
      <c r="P460" s="387"/>
      <c r="Q460" s="387"/>
      <c r="R460" s="383"/>
      <c r="S460" s="383"/>
      <c r="T460" s="383"/>
      <c r="U460" s="383"/>
      <c r="V460" s="383"/>
      <c r="W460" s="383"/>
      <c r="X460" s="383"/>
      <c r="Y460" s="383"/>
      <c r="Z460" s="383"/>
      <c r="AA460" s="383"/>
      <c r="AB460" s="383"/>
      <c r="AC460" s="383"/>
      <c r="AI460" s="209"/>
      <c r="AJ460" s="209"/>
      <c r="AK460" s="66"/>
      <c r="AL460" s="66"/>
      <c r="AM460" s="120"/>
      <c r="AN460" s="120"/>
      <c r="AR460" s="390" t="s">
        <v>424</v>
      </c>
      <c r="AS460" s="213"/>
      <c r="AT460" s="325" t="s">
        <v>0</v>
      </c>
      <c r="AU460" s="692">
        <f>L461*(AS446+BC445)*W461</f>
        <v>81.142644438092177</v>
      </c>
      <c r="AV460" s="692"/>
      <c r="AW460" s="692"/>
      <c r="AX460" s="692"/>
      <c r="AY460" s="325"/>
      <c r="AZ460" s="325"/>
      <c r="BA460" s="383"/>
      <c r="BB460" s="383"/>
      <c r="BC460" s="383"/>
      <c r="BD460" s="124"/>
      <c r="BE460" s="390" t="s">
        <v>424</v>
      </c>
      <c r="BF460" s="213"/>
      <c r="BG460" s="325" t="s">
        <v>0</v>
      </c>
      <c r="BH460" s="692">
        <f>L461*(BH446+BR445)*W461</f>
        <v>83.957765229866482</v>
      </c>
      <c r="BI460" s="692"/>
      <c r="BJ460" s="692"/>
      <c r="BK460" s="692"/>
      <c r="BL460" s="325"/>
      <c r="BM460" s="325"/>
      <c r="BN460" s="383"/>
      <c r="BO460" s="383"/>
      <c r="BP460" s="383"/>
      <c r="BQ460" s="124"/>
      <c r="BR460" s="383"/>
      <c r="BS460" s="325"/>
      <c r="BT460" s="325"/>
      <c r="BU460" s="325"/>
      <c r="BV460" s="325"/>
      <c r="BW460" s="325"/>
      <c r="BX460" s="325"/>
      <c r="BY460" s="325"/>
      <c r="BZ460" s="383"/>
      <c r="CA460" s="383"/>
      <c r="CB460" s="383"/>
      <c r="CC460" s="383"/>
      <c r="CD460" s="383"/>
      <c r="CE460" s="383"/>
      <c r="CF460" s="383"/>
      <c r="CG460" s="383"/>
      <c r="CH460" s="383"/>
      <c r="CI460" s="383"/>
      <c r="CJ460" s="383"/>
      <c r="CK460" s="383"/>
      <c r="CL460" s="383"/>
      <c r="CM460" s="383"/>
      <c r="CN460" s="124"/>
    </row>
    <row r="461" spans="1:92" s="196" customFormat="1" x14ac:dyDescent="0.3">
      <c r="A461" s="201"/>
      <c r="B461" s="201"/>
      <c r="C461" s="213" t="s">
        <v>415</v>
      </c>
      <c r="D461" s="383"/>
      <c r="E461" s="383"/>
      <c r="F461" s="383"/>
      <c r="G461" s="383"/>
      <c r="H461" s="383"/>
      <c r="I461" s="383"/>
      <c r="J461" s="383"/>
      <c r="K461" s="232" t="s">
        <v>0</v>
      </c>
      <c r="L461" s="660">
        <v>0.5</v>
      </c>
      <c r="M461" s="660"/>
      <c r="N461" s="97" t="s">
        <v>416</v>
      </c>
      <c r="O461" s="806">
        <f>AE467</f>
        <v>116.14214720731815</v>
      </c>
      <c r="P461" s="807"/>
      <c r="Q461" s="807"/>
      <c r="R461" s="232" t="s">
        <v>25</v>
      </c>
      <c r="S461" s="808">
        <f>AO466</f>
        <v>124.30111423195829</v>
      </c>
      <c r="T461" s="808"/>
      <c r="U461" s="808"/>
      <c r="V461" s="177" t="s">
        <v>554</v>
      </c>
      <c r="W461" s="914">
        <v>1</v>
      </c>
      <c r="X461" s="914"/>
      <c r="Y461" s="383"/>
      <c r="Z461" s="383"/>
      <c r="AA461" s="383"/>
      <c r="AB461" s="383"/>
      <c r="AC461" s="383"/>
      <c r="AF461" s="66"/>
      <c r="AG461" s="66"/>
      <c r="AH461" s="66"/>
      <c r="AI461" s="66"/>
      <c r="AJ461" s="66"/>
      <c r="AK461" s="66"/>
      <c r="AL461" s="66"/>
      <c r="AM461" s="66"/>
      <c r="AN461" s="66"/>
      <c r="AR461" s="390" t="s">
        <v>425</v>
      </c>
      <c r="AS461" s="213"/>
      <c r="AT461" s="325" t="s">
        <v>0</v>
      </c>
      <c r="AU461" s="692">
        <f>((AS446+2*BC445)/(AS446+BC445))*(V464/3)</f>
        <v>1.4129828560625861</v>
      </c>
      <c r="AV461" s="692"/>
      <c r="AW461" s="692"/>
      <c r="AX461" s="325"/>
      <c r="AY461" s="325"/>
      <c r="AZ461" s="325"/>
      <c r="BA461" s="383"/>
      <c r="BB461" s="383"/>
      <c r="BC461" s="383"/>
      <c r="BD461" s="124"/>
      <c r="BE461" s="390" t="s">
        <v>425</v>
      </c>
      <c r="BF461" s="213"/>
      <c r="BG461" s="325" t="s">
        <v>0</v>
      </c>
      <c r="BH461" s="692">
        <f>((BH446+2*BR445)/(BH446+BR445))*(V464/3)</f>
        <v>1.4192535785964104</v>
      </c>
      <c r="BI461" s="692"/>
      <c r="BJ461" s="692"/>
      <c r="BK461" s="325"/>
      <c r="BL461" s="325"/>
      <c r="BM461" s="325"/>
      <c r="BN461" s="383"/>
      <c r="BO461" s="383"/>
      <c r="BP461" s="383"/>
      <c r="BQ461" s="124"/>
      <c r="BR461" s="383"/>
      <c r="BS461" s="325"/>
      <c r="BT461" s="325"/>
      <c r="BU461" s="325"/>
      <c r="BV461" s="325"/>
      <c r="BW461" s="325"/>
      <c r="BX461" s="325"/>
      <c r="BY461" s="325"/>
      <c r="BZ461" s="383"/>
      <c r="CA461" s="383"/>
      <c r="CB461" s="383"/>
      <c r="CC461" s="383"/>
      <c r="CD461" s="383"/>
      <c r="CE461" s="383"/>
      <c r="CF461" s="383"/>
      <c r="CG461" s="383"/>
      <c r="CH461" s="383"/>
      <c r="CI461" s="383"/>
      <c r="CJ461" s="383"/>
      <c r="CK461" s="383"/>
      <c r="CL461" s="383"/>
      <c r="CM461" s="383"/>
      <c r="CN461" s="124"/>
    </row>
    <row r="462" spans="1:92" s="196" customFormat="1" ht="15.5" x14ac:dyDescent="0.3">
      <c r="A462" s="201"/>
      <c r="B462" s="201"/>
      <c r="C462" s="213" t="s">
        <v>422</v>
      </c>
      <c r="D462" s="383"/>
      <c r="E462" s="383"/>
      <c r="F462" s="383"/>
      <c r="G462" s="383"/>
      <c r="H462" s="383"/>
      <c r="I462" s="383"/>
      <c r="J462" s="383"/>
      <c r="K462" s="232" t="s">
        <v>0</v>
      </c>
      <c r="L462" s="660">
        <f>L461*(O461+S461)*W461</f>
        <v>120.22163071963823</v>
      </c>
      <c r="M462" s="660"/>
      <c r="N462" s="660"/>
      <c r="O462" s="213" t="s">
        <v>10</v>
      </c>
      <c r="P462" s="290"/>
      <c r="Q462" s="232"/>
      <c r="R462" s="232"/>
      <c r="S462" s="289"/>
      <c r="T462" s="232"/>
      <c r="U462" s="177"/>
      <c r="V462" s="177"/>
      <c r="W462" s="177"/>
      <c r="X462" s="288"/>
      <c r="Y462" s="383"/>
      <c r="Z462" s="383"/>
      <c r="AA462" s="383"/>
      <c r="AB462" s="383"/>
      <c r="AC462" s="383"/>
      <c r="AF462" s="66"/>
      <c r="AG462" s="66"/>
      <c r="AH462" s="66"/>
      <c r="AI462" s="66"/>
      <c r="AJ462" s="66"/>
      <c r="AK462" s="66"/>
      <c r="AL462" s="66"/>
      <c r="AM462" s="66"/>
      <c r="AN462" s="66"/>
      <c r="AR462" s="390" t="s">
        <v>404</v>
      </c>
      <c r="AS462" s="406"/>
      <c r="AT462" s="154" t="s">
        <v>0</v>
      </c>
      <c r="AU462" s="692">
        <f>AU459-AU460</f>
        <v>-0.26764443809217653</v>
      </c>
      <c r="AV462" s="704"/>
      <c r="AW462" s="704"/>
      <c r="AX462" s="325"/>
      <c r="AY462" s="325"/>
      <c r="AZ462" s="405"/>
      <c r="BA462" s="405"/>
      <c r="BB462" s="325"/>
      <c r="BC462" s="325"/>
      <c r="BD462" s="407"/>
      <c r="BE462" s="390" t="s">
        <v>404</v>
      </c>
      <c r="BF462" s="406"/>
      <c r="BG462" s="154" t="s">
        <v>0</v>
      </c>
      <c r="BH462" s="692">
        <f>BH459-BH460</f>
        <v>-3.0827652298664816</v>
      </c>
      <c r="BI462" s="704"/>
      <c r="BJ462" s="704"/>
      <c r="BK462" s="325"/>
      <c r="BL462" s="325"/>
      <c r="BM462" s="405"/>
      <c r="BN462" s="405"/>
      <c r="BO462" s="325"/>
      <c r="BP462" s="325"/>
      <c r="BQ462" s="407"/>
      <c r="BR462" s="325"/>
      <c r="BS462" s="154"/>
      <c r="BT462" s="154"/>
      <c r="BU462" s="154"/>
      <c r="BV462" s="325"/>
      <c r="BW462" s="325"/>
      <c r="BX462" s="325"/>
      <c r="BY462" s="405"/>
      <c r="BZ462" s="405"/>
      <c r="CA462" s="325"/>
      <c r="CB462" s="325"/>
      <c r="CC462" s="325"/>
      <c r="CD462" s="325"/>
      <c r="CE462" s="325"/>
      <c r="CF462" s="325"/>
      <c r="CG462" s="325"/>
      <c r="CH462" s="383"/>
      <c r="CI462" s="154"/>
      <c r="CJ462" s="154"/>
      <c r="CK462" s="154"/>
      <c r="CL462" s="154"/>
      <c r="CM462" s="383"/>
      <c r="CN462" s="124"/>
    </row>
    <row r="463" spans="1:92" s="196" customFormat="1" x14ac:dyDescent="0.3">
      <c r="A463" s="201"/>
      <c r="B463" s="201"/>
      <c r="C463" s="383"/>
      <c r="D463" s="383"/>
      <c r="E463" s="383"/>
      <c r="F463" s="383"/>
      <c r="G463" s="383"/>
      <c r="H463" s="383"/>
      <c r="I463" s="383"/>
      <c r="J463" s="383"/>
      <c r="K463" s="389"/>
      <c r="L463" s="290"/>
      <c r="M463" s="232"/>
      <c r="N463" s="232"/>
      <c r="O463" s="232"/>
      <c r="P463" s="293"/>
      <c r="Q463" s="293"/>
      <c r="R463" s="293"/>
      <c r="S463" s="140"/>
      <c r="T463" s="140"/>
      <c r="U463" s="140"/>
      <c r="V463" s="140"/>
      <c r="W463" s="140"/>
      <c r="X463" s="140"/>
      <c r="Y463" s="383"/>
      <c r="Z463" s="383"/>
      <c r="AA463" s="383"/>
      <c r="AB463" s="383"/>
      <c r="AC463" s="383"/>
      <c r="AF463" s="66"/>
      <c r="AG463" s="66"/>
      <c r="AH463" s="66"/>
      <c r="AI463" s="728">
        <f>L459</f>
        <v>119.53125</v>
      </c>
      <c r="AJ463" s="728"/>
      <c r="AK463" s="728"/>
      <c r="AL463" s="728"/>
      <c r="AM463" s="291" t="s">
        <v>10</v>
      </c>
      <c r="AN463" s="66"/>
      <c r="AR463" s="390" t="s">
        <v>405</v>
      </c>
      <c r="AS463" s="406"/>
      <c r="AT463" s="154" t="s">
        <v>0</v>
      </c>
      <c r="AU463" s="704">
        <f>ABS((AU459-AU460)*AU461)</f>
        <v>0.37817700254474962</v>
      </c>
      <c r="AV463" s="704"/>
      <c r="AW463" s="704"/>
      <c r="AX463" s="325"/>
      <c r="AY463" s="325"/>
      <c r="AZ463" s="405"/>
      <c r="BA463" s="405"/>
      <c r="BB463" s="325"/>
      <c r="BC463" s="325"/>
      <c r="BD463" s="407"/>
      <c r="BE463" s="390" t="s">
        <v>405</v>
      </c>
      <c r="BF463" s="406"/>
      <c r="BG463" s="154" t="s">
        <v>0</v>
      </c>
      <c r="BH463" s="704">
        <f>ABS((BH459-BH460)*BH461)</f>
        <v>4.3752255844605896</v>
      </c>
      <c r="BI463" s="704"/>
      <c r="BJ463" s="704"/>
      <c r="BK463" s="325"/>
      <c r="BL463" s="325"/>
      <c r="BM463" s="405"/>
      <c r="BN463" s="405"/>
      <c r="BO463" s="325"/>
      <c r="BP463" s="325"/>
      <c r="BQ463" s="407"/>
      <c r="BR463" s="325"/>
      <c r="BS463" s="154"/>
      <c r="BT463" s="154"/>
      <c r="BU463" s="154"/>
      <c r="BV463" s="325"/>
      <c r="BW463" s="325"/>
      <c r="BX463" s="325"/>
      <c r="BY463" s="405"/>
      <c r="BZ463" s="405"/>
      <c r="CA463" s="325"/>
      <c r="CB463" s="325"/>
      <c r="CC463" s="325"/>
      <c r="CD463" s="325"/>
      <c r="CE463" s="325"/>
      <c r="CF463" s="325"/>
      <c r="CG463" s="325"/>
      <c r="CH463" s="383"/>
      <c r="CI463" s="154"/>
      <c r="CJ463" s="154"/>
      <c r="CK463" s="154"/>
      <c r="CL463" s="154"/>
      <c r="CM463" s="383"/>
      <c r="CN463" s="124"/>
    </row>
    <row r="464" spans="1:92" s="196" customFormat="1" x14ac:dyDescent="0.25">
      <c r="A464" s="201"/>
      <c r="B464" s="201"/>
      <c r="C464" s="213" t="s">
        <v>418</v>
      </c>
      <c r="D464" s="383"/>
      <c r="E464" s="383"/>
      <c r="F464" s="40"/>
      <c r="G464" s="383"/>
      <c r="H464" s="383"/>
      <c r="I464" s="383"/>
      <c r="J464" s="383"/>
      <c r="K464" s="383" t="s">
        <v>0</v>
      </c>
      <c r="L464" s="708">
        <f>O461</f>
        <v>116.14214720731815</v>
      </c>
      <c r="M464" s="672"/>
      <c r="N464" s="672"/>
      <c r="O464" s="380" t="s">
        <v>25</v>
      </c>
      <c r="P464" s="380">
        <v>2</v>
      </c>
      <c r="Q464" s="380" t="s">
        <v>21</v>
      </c>
      <c r="R464" s="708">
        <f>S461</f>
        <v>124.30111423195829</v>
      </c>
      <c r="S464" s="672"/>
      <c r="T464" s="672"/>
      <c r="U464" s="383" t="s">
        <v>21</v>
      </c>
      <c r="V464" s="708">
        <f>Z113</f>
        <v>2.8</v>
      </c>
      <c r="W464" s="672"/>
      <c r="X464" s="383"/>
      <c r="Y464" s="383"/>
      <c r="Z464" s="383"/>
      <c r="AA464" s="383"/>
      <c r="AB464" s="383"/>
      <c r="AC464" s="383"/>
      <c r="AF464" s="391" t="s">
        <v>484</v>
      </c>
      <c r="AR464" s="125"/>
      <c r="AS464" s="383"/>
      <c r="AT464" s="325"/>
      <c r="AU464" s="154"/>
      <c r="AV464" s="154"/>
      <c r="AW464" s="383"/>
      <c r="AX464" s="383"/>
      <c r="AY464" s="383"/>
      <c r="AZ464" s="383"/>
      <c r="BA464" s="383"/>
      <c r="BB464" s="383"/>
      <c r="BC464" s="383"/>
      <c r="BD464" s="124"/>
      <c r="BE464" s="125"/>
      <c r="BF464" s="383"/>
      <c r="BG464" s="325"/>
      <c r="BH464" s="154"/>
      <c r="BI464" s="154"/>
      <c r="BJ464" s="383"/>
      <c r="BK464" s="383"/>
      <c r="BL464" s="383"/>
      <c r="BM464" s="383"/>
      <c r="BN464" s="383"/>
      <c r="BO464" s="383"/>
      <c r="BP464" s="383"/>
      <c r="BQ464" s="124"/>
      <c r="BR464" s="383"/>
      <c r="BS464" s="325"/>
      <c r="BT464" s="154"/>
      <c r="BU464" s="154"/>
      <c r="BV464" s="383"/>
      <c r="BW464" s="383"/>
      <c r="BX464" s="383"/>
      <c r="BY464" s="383"/>
      <c r="BZ464" s="383"/>
      <c r="CA464" s="383"/>
      <c r="CB464" s="383"/>
      <c r="CC464" s="383"/>
      <c r="CD464" s="383"/>
      <c r="CE464" s="383"/>
      <c r="CF464" s="383"/>
      <c r="CG464" s="383"/>
      <c r="CH464" s="383"/>
      <c r="CI464" s="383"/>
      <c r="CJ464" s="383"/>
      <c r="CK464" s="383"/>
      <c r="CL464" s="383"/>
      <c r="CM464" s="383"/>
      <c r="CN464" s="124"/>
    </row>
    <row r="465" spans="1:92" s="196" customFormat="1" ht="14.5" x14ac:dyDescent="0.35">
      <c r="A465" s="201"/>
      <c r="B465" s="201"/>
      <c r="C465" s="140" t="s">
        <v>419</v>
      </c>
      <c r="D465" s="282"/>
      <c r="E465" s="282"/>
      <c r="F465" s="282"/>
      <c r="G465" s="232"/>
      <c r="H465" s="389"/>
      <c r="I465" s="389"/>
      <c r="J465" s="389"/>
      <c r="K465" s="232"/>
      <c r="L465" s="692">
        <f>L464</f>
        <v>116.14214720731815</v>
      </c>
      <c r="M465" s="704"/>
      <c r="N465" s="704"/>
      <c r="O465" s="92"/>
      <c r="P465" s="290" t="s">
        <v>25</v>
      </c>
      <c r="Q465" s="232"/>
      <c r="R465" s="692">
        <f>R464</f>
        <v>124.30111423195829</v>
      </c>
      <c r="S465" s="704"/>
      <c r="T465" s="704"/>
      <c r="U465" s="140"/>
      <c r="V465" s="919">
        <v>3</v>
      </c>
      <c r="W465" s="919"/>
      <c r="X465" s="232"/>
      <c r="Y465" s="232"/>
      <c r="Z465" s="389"/>
      <c r="AA465" s="403"/>
      <c r="AB465" s="404"/>
      <c r="AC465" s="404"/>
      <c r="AE465" s="292"/>
      <c r="AI465" s="284"/>
      <c r="AJ465" s="284"/>
      <c r="AK465" s="283"/>
      <c r="AL465" s="283"/>
      <c r="AM465" s="285"/>
      <c r="AN465" s="285"/>
      <c r="AO465" s="283"/>
      <c r="AP465" s="283"/>
      <c r="AQ465" s="283"/>
      <c r="AR465" s="126"/>
      <c r="AS465" s="380"/>
      <c r="AT465" s="393"/>
      <c r="AU465" s="123"/>
      <c r="AV465" s="123"/>
      <c r="AW465" s="123"/>
      <c r="AX465" s="380"/>
      <c r="AY465" s="380"/>
      <c r="AZ465" s="380"/>
      <c r="BA465" s="380"/>
      <c r="BB465" s="380"/>
      <c r="BC465" s="380"/>
      <c r="BD465" s="382"/>
      <c r="BE465" s="126"/>
      <c r="BF465" s="380"/>
      <c r="BG465" s="393"/>
      <c r="BH465" s="123"/>
      <c r="BI465" s="123"/>
      <c r="BJ465" s="123"/>
      <c r="BK465" s="380"/>
      <c r="BL465" s="380"/>
      <c r="BM465" s="380"/>
      <c r="BN465" s="380"/>
      <c r="BO465" s="380"/>
      <c r="BP465" s="380"/>
      <c r="BQ465" s="382"/>
      <c r="BR465" s="380"/>
      <c r="BS465" s="393"/>
      <c r="BT465" s="123"/>
      <c r="BU465" s="123"/>
      <c r="BV465" s="123"/>
      <c r="BW465" s="380"/>
      <c r="BX465" s="380"/>
      <c r="BY465" s="380"/>
      <c r="BZ465" s="380"/>
      <c r="CA465" s="380"/>
      <c r="CB465" s="380"/>
      <c r="CC465" s="380"/>
      <c r="CD465" s="380"/>
      <c r="CE465" s="380"/>
      <c r="CF465" s="380"/>
      <c r="CG465" s="380"/>
      <c r="CH465" s="380"/>
      <c r="CI465" s="380"/>
      <c r="CJ465" s="380"/>
      <c r="CK465" s="380"/>
      <c r="CL465" s="380"/>
      <c r="CM465" s="380"/>
      <c r="CN465" s="382"/>
    </row>
    <row r="466" spans="1:92" s="196" customFormat="1" ht="14.5" x14ac:dyDescent="0.35">
      <c r="A466" s="201"/>
      <c r="B466" s="201"/>
      <c r="C466" s="386"/>
      <c r="D466" s="389"/>
      <c r="E466" s="389"/>
      <c r="F466" s="389"/>
      <c r="G466" s="389"/>
      <c r="H466" s="389"/>
      <c r="I466" s="389"/>
      <c r="J466" s="389"/>
      <c r="K466" s="232" t="s">
        <v>0</v>
      </c>
      <c r="L466" s="808">
        <f>((L464+2*R464)/(L465+R465))*(V464/3)</f>
        <v>1.4158354113234053</v>
      </c>
      <c r="M466" s="808"/>
      <c r="N466" s="808"/>
      <c r="O466" s="282" t="s">
        <v>1</v>
      </c>
      <c r="P466" s="389"/>
      <c r="Q466" s="383"/>
      <c r="R466" s="389"/>
      <c r="S466" s="389"/>
      <c r="T466" s="389"/>
      <c r="U466" s="389"/>
      <c r="V466" s="389"/>
      <c r="W466" s="389"/>
      <c r="X466" s="389"/>
      <c r="Y466" s="389"/>
      <c r="Z466" s="389"/>
      <c r="AA466" s="389"/>
      <c r="AB466" s="389"/>
      <c r="AC466" s="389"/>
      <c r="AE466" s="283"/>
      <c r="AF466" s="283"/>
      <c r="AG466" s="283"/>
      <c r="AH466" s="283"/>
      <c r="AI466" s="284"/>
      <c r="AJ466" s="284"/>
      <c r="AK466" s="283"/>
      <c r="AL466" s="283"/>
      <c r="AM466" s="283"/>
      <c r="AN466" s="283"/>
      <c r="AO466" s="697">
        <f>AE254</f>
        <v>124.30111423195829</v>
      </c>
      <c r="AP466" s="697"/>
      <c r="AQ466" s="697"/>
    </row>
    <row r="467" spans="1:92" s="196" customFormat="1" ht="16" x14ac:dyDescent="0.35">
      <c r="A467" s="201"/>
      <c r="B467" s="201"/>
      <c r="D467" s="282"/>
      <c r="E467" s="282"/>
      <c r="F467" s="282"/>
      <c r="G467" s="232"/>
      <c r="H467" s="232"/>
      <c r="I467" s="232"/>
      <c r="J467" s="232"/>
      <c r="K467" s="232"/>
      <c r="L467" s="402"/>
      <c r="M467" s="402"/>
      <c r="N467" s="402"/>
      <c r="O467" s="92"/>
      <c r="P467" s="290"/>
      <c r="Q467" s="232"/>
      <c r="R467" s="232"/>
      <c r="S467" s="289"/>
      <c r="T467" s="389"/>
      <c r="U467" s="327"/>
      <c r="V467" s="97"/>
      <c r="AC467" s="389"/>
      <c r="AE467" s="697">
        <f>AE258</f>
        <v>116.14214720731815</v>
      </c>
      <c r="AF467" s="697"/>
      <c r="AG467" s="697"/>
      <c r="AH467" s="283"/>
      <c r="AI467" s="284"/>
      <c r="AJ467" s="284"/>
      <c r="AK467" s="283"/>
      <c r="AL467" s="283"/>
      <c r="AM467" s="285"/>
      <c r="AN467" s="285"/>
      <c r="AO467" s="291" t="s">
        <v>10</v>
      </c>
      <c r="AP467" s="286"/>
      <c r="AQ467" s="283"/>
    </row>
    <row r="468" spans="1:92" s="196" customFormat="1" ht="16" x14ac:dyDescent="0.35">
      <c r="A468" s="201"/>
      <c r="B468" s="201"/>
      <c r="C468" s="288" t="s">
        <v>420</v>
      </c>
      <c r="D468" s="282"/>
      <c r="E468" s="282"/>
      <c r="F468" s="282"/>
      <c r="G468" s="140"/>
      <c r="H468" s="140"/>
      <c r="I468" s="140"/>
      <c r="J468" s="140"/>
      <c r="K468" s="140" t="s">
        <v>0</v>
      </c>
      <c r="L468" s="734">
        <f>L459</f>
        <v>119.53125</v>
      </c>
      <c r="M468" s="734"/>
      <c r="N468" s="734"/>
      <c r="O468" s="232" t="s">
        <v>23</v>
      </c>
      <c r="P468" s="734">
        <f>L462</f>
        <v>120.22163071963823</v>
      </c>
      <c r="Q468" s="734"/>
      <c r="R468" s="734"/>
      <c r="S468" s="121" t="s">
        <v>21</v>
      </c>
      <c r="T468" s="664">
        <f>Z113</f>
        <v>2.8</v>
      </c>
      <c r="U468" s="664"/>
      <c r="V468" s="664"/>
      <c r="W468" s="293" t="s">
        <v>0</v>
      </c>
      <c r="X468" s="734">
        <f>ABS(L468-P468)*T468/2</f>
        <v>0.96653300749351834</v>
      </c>
      <c r="Y468" s="734"/>
      <c r="Z468" s="734"/>
      <c r="AA468" s="293" t="s">
        <v>12</v>
      </c>
      <c r="AB468" s="289"/>
      <c r="AC468" s="389"/>
      <c r="AD468" s="225"/>
      <c r="AE468" s="291" t="s">
        <v>10</v>
      </c>
      <c r="AF468" s="283"/>
      <c r="AG468" s="283"/>
      <c r="AH468" s="283"/>
      <c r="AI468" s="284"/>
      <c r="AJ468" s="284"/>
      <c r="AK468" s="283"/>
      <c r="AL468" s="283"/>
      <c r="AM468" s="285"/>
      <c r="AN468" s="285"/>
      <c r="AO468" s="283"/>
      <c r="AP468" s="286"/>
      <c r="AQ468" s="283"/>
      <c r="AR468" s="231"/>
      <c r="AS468" s="231"/>
      <c r="AT468" s="231"/>
    </row>
    <row r="469" spans="1:92" s="196" customFormat="1" x14ac:dyDescent="0.3">
      <c r="A469" s="201"/>
      <c r="B469" s="201"/>
      <c r="C469" s="388"/>
      <c r="D469" s="387"/>
      <c r="E469" s="389"/>
      <c r="F469" s="387"/>
      <c r="G469" s="389"/>
      <c r="H469" s="74"/>
      <c r="I469" s="74"/>
      <c r="J469" s="74"/>
      <c r="K469" s="232"/>
      <c r="L469" s="282"/>
      <c r="M469" s="282"/>
      <c r="N469" s="282"/>
      <c r="O469" s="282"/>
      <c r="P469" s="288"/>
      <c r="Q469" s="74"/>
      <c r="R469" s="74"/>
      <c r="S469" s="74"/>
      <c r="T469" s="74"/>
      <c r="U469" s="74">
        <v>2</v>
      </c>
      <c r="V469" s="74"/>
      <c r="W469" s="74"/>
      <c r="X469" s="389"/>
      <c r="Y469" s="389"/>
      <c r="Z469" s="389"/>
      <c r="AA469" s="389"/>
      <c r="AB469" s="389"/>
      <c r="AC469" s="389"/>
      <c r="AG469" s="392" t="s">
        <v>485</v>
      </c>
    </row>
    <row r="470" spans="1:92" s="196" customFormat="1" x14ac:dyDescent="0.35">
      <c r="A470" s="201"/>
      <c r="B470" s="201"/>
      <c r="C470" s="213" t="s">
        <v>445</v>
      </c>
      <c r="F470" s="37"/>
      <c r="K470" s="196" t="s">
        <v>0</v>
      </c>
      <c r="L470" s="686">
        <f>L459</f>
        <v>119.53125</v>
      </c>
      <c r="M470" s="686"/>
      <c r="N470" s="686"/>
      <c r="O470" s="196" t="s">
        <v>23</v>
      </c>
      <c r="P470" s="686">
        <f>L462</f>
        <v>120.22163071963823</v>
      </c>
      <c r="Q470" s="695"/>
      <c r="R470" s="695"/>
      <c r="S470" s="196" t="s">
        <v>21</v>
      </c>
      <c r="T470" s="686">
        <f>L466</f>
        <v>1.4158354113234053</v>
      </c>
      <c r="U470" s="695"/>
      <c r="V470" s="695"/>
      <c r="W470" s="196" t="s">
        <v>0</v>
      </c>
      <c r="X470" s="686">
        <f>ABS((L470-P470)*T470)</f>
        <v>0.9774654701587383</v>
      </c>
      <c r="Y470" s="686"/>
      <c r="Z470" s="686"/>
      <c r="AA470" s="158" t="s">
        <v>11</v>
      </c>
    </row>
    <row r="471" spans="1:92" s="196" customFormat="1" x14ac:dyDescent="0.35">
      <c r="A471" s="201"/>
      <c r="B471" s="213"/>
      <c r="C471" s="213"/>
      <c r="D471" s="158"/>
      <c r="E471" s="158"/>
      <c r="F471" s="320"/>
      <c r="G471" s="158"/>
      <c r="H471" s="158"/>
      <c r="I471" s="158"/>
      <c r="J471" s="158"/>
      <c r="K471" s="158"/>
      <c r="L471" s="158"/>
      <c r="M471" s="158"/>
      <c r="N471" s="158"/>
      <c r="O471" s="158"/>
      <c r="P471" s="158"/>
      <c r="Q471" s="158"/>
      <c r="R471" s="158"/>
      <c r="S471" s="158"/>
      <c r="T471" s="158"/>
      <c r="U471" s="158"/>
      <c r="V471" s="158"/>
      <c r="W471" s="158"/>
      <c r="X471" s="158"/>
      <c r="Y471" s="158"/>
      <c r="Z471" s="158"/>
      <c r="AA471" s="158"/>
      <c r="AB471" s="158"/>
      <c r="AC471" s="158"/>
      <c r="AD471" s="158"/>
      <c r="AE471" s="158"/>
      <c r="AF471" s="158"/>
      <c r="AG471" s="158"/>
      <c r="AH471" s="158"/>
      <c r="AI471" s="158"/>
      <c r="AJ471" s="158"/>
      <c r="AK471" s="158"/>
      <c r="AL471" s="158"/>
      <c r="AM471" s="158"/>
      <c r="AN471" s="158"/>
      <c r="AO471" s="158"/>
      <c r="AP471" s="158"/>
    </row>
    <row r="472" spans="1:92" s="165" customFormat="1" x14ac:dyDescent="0.35">
      <c r="A472" s="201"/>
      <c r="B472" s="201"/>
      <c r="C472" s="342" t="s">
        <v>462</v>
      </c>
      <c r="D472" s="196"/>
      <c r="E472" s="196"/>
      <c r="F472" s="37"/>
      <c r="G472" s="196"/>
      <c r="H472" s="196"/>
      <c r="I472" s="196"/>
      <c r="J472" s="196"/>
      <c r="K472" s="196"/>
      <c r="AE472" s="196"/>
      <c r="AF472" s="196"/>
      <c r="AG472" s="196"/>
      <c r="AH472" s="196"/>
      <c r="AI472" s="196"/>
      <c r="AJ472" s="196"/>
      <c r="AK472" s="196"/>
      <c r="AL472" s="196"/>
      <c r="AM472" s="196"/>
      <c r="AN472" s="196"/>
      <c r="AO472" s="196"/>
      <c r="AP472" s="196"/>
      <c r="AQ472" s="196"/>
      <c r="AR472" s="196"/>
      <c r="AS472" s="196"/>
      <c r="AT472" s="196"/>
      <c r="AU472" s="196"/>
      <c r="AV472" s="196"/>
      <c r="AW472" s="196"/>
      <c r="AX472" s="196"/>
      <c r="AY472" s="196"/>
      <c r="AZ472" s="196"/>
      <c r="BA472" s="196"/>
      <c r="BB472" s="196"/>
      <c r="BC472" s="196"/>
      <c r="BD472" s="196"/>
      <c r="BE472" s="196"/>
      <c r="BF472" s="196"/>
      <c r="BG472" s="196"/>
      <c r="BH472" s="196"/>
      <c r="BI472" s="196"/>
      <c r="BJ472" s="196"/>
      <c r="BK472" s="196"/>
      <c r="BL472" s="196"/>
      <c r="BM472" s="196"/>
      <c r="BN472" s="196"/>
      <c r="BO472" s="196"/>
      <c r="BP472" s="196"/>
      <c r="BQ472" s="196"/>
      <c r="BR472" s="196"/>
      <c r="BS472" s="196"/>
      <c r="BT472" s="196"/>
    </row>
    <row r="473" spans="1:92" s="165" customFormat="1" x14ac:dyDescent="0.35">
      <c r="A473" s="201"/>
      <c r="B473" s="201"/>
      <c r="C473" s="785" t="s">
        <v>38</v>
      </c>
      <c r="D473" s="785"/>
      <c r="E473" s="721" t="s">
        <v>200</v>
      </c>
      <c r="F473" s="722"/>
      <c r="G473" s="722"/>
      <c r="H473" s="722"/>
      <c r="I473" s="722"/>
      <c r="J473" s="722"/>
      <c r="K473" s="722"/>
      <c r="L473" s="722"/>
      <c r="M473" s="722"/>
      <c r="N473" s="722"/>
      <c r="O473" s="722"/>
      <c r="P473" s="722"/>
      <c r="Q473" s="722"/>
      <c r="R473" s="722"/>
      <c r="S473" s="722"/>
      <c r="T473" s="722"/>
      <c r="U473" s="722"/>
      <c r="V473" s="722"/>
      <c r="W473" s="722"/>
      <c r="X473" s="722"/>
      <c r="Y473" s="722"/>
      <c r="Z473" s="722"/>
      <c r="AA473" s="722"/>
      <c r="AB473" s="722"/>
      <c r="AC473" s="722"/>
      <c r="AD473" s="722"/>
      <c r="AE473" s="722"/>
      <c r="AF473" s="722"/>
      <c r="AG473" s="722"/>
      <c r="AH473" s="722"/>
      <c r="AI473" s="722"/>
      <c r="AJ473" s="722"/>
      <c r="AK473" s="722"/>
      <c r="AL473" s="723"/>
      <c r="AM473" s="196"/>
      <c r="AN473" s="196"/>
      <c r="AO473" s="196"/>
      <c r="AP473" s="196"/>
      <c r="AQ473" s="196"/>
      <c r="AR473" s="196"/>
      <c r="AS473" s="196"/>
      <c r="AT473" s="196"/>
      <c r="AU473" s="695">
        <f>IF(U141=415,(0.48*AB478),(0.46*AB478))</f>
        <v>216.20000000000002</v>
      </c>
      <c r="AV473" s="695"/>
      <c r="AW473" s="695"/>
      <c r="AX473" s="695"/>
      <c r="AY473" s="695"/>
      <c r="AZ473" s="196"/>
      <c r="BA473" s="196"/>
      <c r="BB473" s="196"/>
      <c r="BC473" s="196"/>
      <c r="BD473" s="196"/>
      <c r="BE473" s="196"/>
      <c r="BF473" s="196"/>
      <c r="BG473" s="196"/>
      <c r="BH473" s="196"/>
      <c r="BI473" s="196"/>
      <c r="BJ473" s="196"/>
      <c r="BK473" s="196"/>
      <c r="BL473" s="196"/>
      <c r="BM473" s="196"/>
      <c r="BN473" s="196"/>
      <c r="BO473" s="196"/>
      <c r="BP473" s="196"/>
      <c r="BQ473" s="196"/>
      <c r="BR473" s="196"/>
      <c r="BS473" s="196"/>
      <c r="BT473" s="196"/>
    </row>
    <row r="474" spans="1:92" s="165" customFormat="1" x14ac:dyDescent="0.35">
      <c r="A474" s="201"/>
      <c r="B474" s="201"/>
      <c r="C474" s="785"/>
      <c r="D474" s="785"/>
      <c r="E474" s="724"/>
      <c r="F474" s="725"/>
      <c r="G474" s="725"/>
      <c r="H474" s="725"/>
      <c r="I474" s="725"/>
      <c r="J474" s="725"/>
      <c r="K474" s="725"/>
      <c r="L474" s="725"/>
      <c r="M474" s="725"/>
      <c r="N474" s="725"/>
      <c r="O474" s="725"/>
      <c r="P474" s="725"/>
      <c r="Q474" s="725"/>
      <c r="R474" s="725"/>
      <c r="S474" s="725"/>
      <c r="T474" s="725"/>
      <c r="U474" s="725"/>
      <c r="V474" s="725"/>
      <c r="W474" s="725"/>
      <c r="X474" s="725"/>
      <c r="Y474" s="725"/>
      <c r="Z474" s="725"/>
      <c r="AA474" s="725"/>
      <c r="AB474" s="725"/>
      <c r="AC474" s="725"/>
      <c r="AD474" s="725"/>
      <c r="AE474" s="725"/>
      <c r="AF474" s="725"/>
      <c r="AG474" s="725"/>
      <c r="AH474" s="725"/>
      <c r="AI474" s="725"/>
      <c r="AJ474" s="725"/>
      <c r="AK474" s="725"/>
      <c r="AL474" s="726"/>
      <c r="AM474" s="196"/>
      <c r="AN474" s="196"/>
      <c r="AO474" s="196"/>
      <c r="AP474" s="196"/>
      <c r="AQ474" s="196"/>
      <c r="AR474" s="196"/>
      <c r="AS474" s="196"/>
      <c r="AT474" s="196"/>
      <c r="AU474" s="695" t="e">
        <f>(0.36*U140*((IF(U141=415,(0.48*AB478),(0.46*AB478))))*(1-(0.416*(IF(U141=415,(0.48*AB478),(0.46*AB478)))))*1000*((R310*1000)^2))/1000000</f>
        <v>#VALUE!</v>
      </c>
      <c r="AV474" s="695"/>
      <c r="AW474" s="695"/>
      <c r="AX474" s="695"/>
      <c r="AY474" s="695"/>
      <c r="AZ474" s="695"/>
      <c r="BA474" s="695"/>
      <c r="BB474" s="695"/>
      <c r="BC474" s="695"/>
      <c r="BD474" s="695"/>
      <c r="BE474" s="695"/>
      <c r="BF474" s="196"/>
      <c r="BG474" s="196"/>
      <c r="BH474" s="196"/>
      <c r="BI474" s="196"/>
      <c r="BJ474" s="196"/>
      <c r="BK474" s="196"/>
      <c r="BL474" s="196"/>
      <c r="BM474" s="196"/>
      <c r="BN474" s="196"/>
      <c r="BO474" s="196"/>
      <c r="BP474" s="196"/>
      <c r="BQ474" s="196"/>
      <c r="BR474" s="196"/>
      <c r="BS474" s="196"/>
      <c r="BT474" s="196"/>
    </row>
    <row r="475" spans="1:92" s="165" customFormat="1" x14ac:dyDescent="0.3">
      <c r="A475" s="201"/>
      <c r="B475" s="201"/>
      <c r="C475" s="768">
        <v>1</v>
      </c>
      <c r="D475" s="769"/>
      <c r="E475" s="166" t="s">
        <v>193</v>
      </c>
      <c r="F475" s="166"/>
      <c r="G475" s="166"/>
      <c r="H475" s="166"/>
      <c r="I475" s="166"/>
      <c r="J475" s="183"/>
      <c r="K475" s="183"/>
      <c r="L475" s="183"/>
      <c r="M475" s="166"/>
      <c r="N475" s="199"/>
      <c r="O475" s="199"/>
      <c r="P475" s="199"/>
      <c r="Q475" s="199"/>
      <c r="R475" s="199"/>
      <c r="S475" s="199"/>
      <c r="T475" s="199"/>
      <c r="U475" s="199"/>
      <c r="V475" s="199"/>
      <c r="W475" s="199"/>
      <c r="X475" s="199"/>
      <c r="Y475" s="199"/>
      <c r="Z475" s="199"/>
      <c r="AA475" s="203"/>
      <c r="AB475" s="773">
        <f>(0.36*U43*1000*U65*AB478*(AB478-0.416*U65*AB478))/10^6</f>
        <v>911.67184008455547</v>
      </c>
      <c r="AC475" s="774"/>
      <c r="AD475" s="774"/>
      <c r="AE475" s="670" t="s">
        <v>11</v>
      </c>
      <c r="AF475" s="670"/>
      <c r="AG475" s="670"/>
      <c r="AH475" s="794" t="str">
        <f>IF(AB475&gt;X470,"Safe","Hence Unsafe")</f>
        <v>Safe</v>
      </c>
      <c r="AI475" s="794"/>
      <c r="AJ475" s="794"/>
      <c r="AK475" s="794"/>
      <c r="AL475" s="795"/>
      <c r="AM475" s="196"/>
      <c r="AN475" s="196"/>
      <c r="AO475" s="196"/>
      <c r="AP475" s="196"/>
      <c r="AQ475" s="196"/>
      <c r="AR475" s="196"/>
      <c r="AS475" s="196"/>
      <c r="AT475" s="196"/>
      <c r="AU475" s="695"/>
      <c r="AV475" s="695"/>
      <c r="AW475" s="695"/>
      <c r="AX475" s="695"/>
      <c r="AY475" s="695"/>
      <c r="AZ475" s="695"/>
      <c r="BA475" s="695"/>
      <c r="BB475" s="695"/>
      <c r="BC475" s="695"/>
      <c r="BD475" s="695"/>
      <c r="BE475" s="695"/>
      <c r="BF475" s="196"/>
      <c r="BG475" s="196"/>
      <c r="BH475" s="196"/>
      <c r="BI475" s="196"/>
      <c r="BJ475" s="196"/>
      <c r="BK475" s="196"/>
      <c r="BL475" s="196"/>
      <c r="BM475" s="196"/>
      <c r="BN475" s="196"/>
      <c r="BO475" s="196"/>
      <c r="BP475" s="196"/>
      <c r="BQ475" s="196"/>
      <c r="BR475" s="196"/>
      <c r="BS475" s="196"/>
      <c r="BT475" s="196"/>
    </row>
    <row r="476" spans="1:92" s="165" customFormat="1" ht="17" x14ac:dyDescent="0.45">
      <c r="A476" s="201"/>
      <c r="B476" s="201"/>
      <c r="C476" s="770"/>
      <c r="D476" s="771"/>
      <c r="E476" s="94" t="s">
        <v>208</v>
      </c>
      <c r="F476" s="198"/>
      <c r="G476" s="198"/>
      <c r="H476" s="198"/>
      <c r="I476" s="198"/>
      <c r="J476" s="198"/>
      <c r="K476" s="198"/>
      <c r="L476" s="198"/>
      <c r="M476" s="198"/>
      <c r="N476" s="198"/>
      <c r="O476" s="198"/>
      <c r="P476" s="198"/>
      <c r="Q476" s="198"/>
      <c r="R476" s="198"/>
      <c r="S476" s="198"/>
      <c r="T476" s="198"/>
      <c r="U476" s="198"/>
      <c r="V476" s="198"/>
      <c r="W476" s="198"/>
      <c r="X476" s="198"/>
      <c r="Y476" s="198"/>
      <c r="Z476" s="198"/>
      <c r="AA476" s="204"/>
      <c r="AB476" s="732"/>
      <c r="AC476" s="733"/>
      <c r="AD476" s="733"/>
      <c r="AE476" s="672"/>
      <c r="AF476" s="672"/>
      <c r="AG476" s="672"/>
      <c r="AH476" s="700"/>
      <c r="AI476" s="700"/>
      <c r="AJ476" s="700"/>
      <c r="AK476" s="700"/>
      <c r="AL476" s="701"/>
      <c r="AM476" s="196"/>
      <c r="AN476" s="196"/>
      <c r="AO476" s="196"/>
      <c r="AP476" s="196"/>
      <c r="AQ476" s="196"/>
      <c r="AR476" s="196"/>
      <c r="AS476" s="695">
        <f>(0.36*U43*1000*0.46*AB478*(AB478-0.416*U65*AB478))/10^6</f>
        <v>679.84671503448283</v>
      </c>
      <c r="AT476" s="695"/>
      <c r="AU476" s="695"/>
      <c r="AV476" s="695"/>
      <c r="AW476" s="196"/>
      <c r="AX476" s="196"/>
      <c r="AY476" s="196"/>
      <c r="AZ476" s="196"/>
      <c r="BA476" s="196"/>
      <c r="BB476" s="196"/>
      <c r="BC476" s="196"/>
      <c r="BD476" s="196"/>
      <c r="BE476" s="196"/>
      <c r="BF476" s="196"/>
      <c r="BG476" s="196"/>
      <c r="BH476" s="196"/>
      <c r="BI476" s="196"/>
      <c r="BJ476" s="196"/>
      <c r="BK476" s="196"/>
      <c r="BL476" s="196"/>
      <c r="BM476" s="196"/>
      <c r="BN476" s="196"/>
      <c r="BO476" s="196"/>
      <c r="BP476" s="196"/>
      <c r="BQ476" s="196"/>
      <c r="BR476" s="196"/>
      <c r="BS476" s="196"/>
      <c r="BT476" s="196"/>
    </row>
    <row r="477" spans="1:92" s="165" customFormat="1" ht="14.5" x14ac:dyDescent="0.35">
      <c r="A477" s="201"/>
      <c r="B477" s="201"/>
      <c r="C477" s="783">
        <v>2</v>
      </c>
      <c r="D477" s="784"/>
      <c r="E477" s="184" t="s">
        <v>194</v>
      </c>
      <c r="F477" s="184"/>
      <c r="G477" s="184"/>
      <c r="H477" s="184"/>
      <c r="I477" s="184"/>
      <c r="J477" s="184"/>
      <c r="K477" s="184"/>
      <c r="L477" s="184"/>
      <c r="M477" s="184"/>
      <c r="N477" s="184"/>
      <c r="O477" s="210" t="s">
        <v>209</v>
      </c>
      <c r="P477" s="202"/>
      <c r="Q477" s="184"/>
      <c r="R477" s="184"/>
      <c r="S477" s="144"/>
      <c r="T477" s="144"/>
      <c r="U477" s="202"/>
      <c r="V477" s="143"/>
      <c r="W477" s="144"/>
      <c r="X477" s="144"/>
      <c r="Y477" s="185"/>
      <c r="Z477" s="202"/>
      <c r="AA477" s="205"/>
      <c r="AB477" s="775">
        <f>((X470*10^6)/(0.15*U43*1000))^0.5</f>
        <v>16.144889553942352</v>
      </c>
      <c r="AC477" s="776"/>
      <c r="AD477" s="776"/>
      <c r="AE477" s="729" t="s">
        <v>2</v>
      </c>
      <c r="AF477" s="729"/>
      <c r="AG477" s="729"/>
      <c r="AH477" s="202"/>
      <c r="AI477" s="186"/>
      <c r="AJ477" s="186"/>
      <c r="AK477" s="186"/>
      <c r="AL477" s="187"/>
      <c r="AM477" s="196"/>
      <c r="AN477" s="196"/>
      <c r="AO477" s="196"/>
      <c r="AP477" s="196"/>
      <c r="AQ477" s="196"/>
      <c r="AR477" s="196"/>
      <c r="AS477" s="196"/>
      <c r="AT477" s="196"/>
      <c r="AU477" s="196"/>
      <c r="AV477" s="196"/>
      <c r="AW477" s="196"/>
      <c r="AX477" s="196"/>
      <c r="AY477" s="196"/>
      <c r="AZ477" s="196"/>
      <c r="BA477" s="196"/>
      <c r="BB477" s="196"/>
      <c r="BC477" s="196"/>
      <c r="BD477" s="196"/>
      <c r="BE477" s="196"/>
      <c r="BF477" s="196"/>
      <c r="BG477" s="196"/>
      <c r="BH477" s="196"/>
      <c r="BI477" s="196"/>
      <c r="BJ477" s="196"/>
      <c r="BK477" s="196"/>
      <c r="BL477" s="196"/>
      <c r="BM477" s="196"/>
      <c r="BN477" s="196"/>
      <c r="BO477" s="196"/>
      <c r="BP477" s="196"/>
      <c r="BQ477" s="196"/>
      <c r="BR477" s="196"/>
      <c r="BS477" s="196"/>
      <c r="BT477" s="196"/>
    </row>
    <row r="478" spans="1:92" s="165" customFormat="1" x14ac:dyDescent="0.3">
      <c r="A478" s="201"/>
      <c r="B478" s="201"/>
      <c r="C478" s="783">
        <v>3</v>
      </c>
      <c r="D478" s="784"/>
      <c r="E478" s="184" t="s">
        <v>195</v>
      </c>
      <c r="F478" s="202"/>
      <c r="G478" s="202"/>
      <c r="H478" s="202"/>
      <c r="I478" s="202"/>
      <c r="J478" s="202"/>
      <c r="K478" s="202"/>
      <c r="L478" s="202"/>
      <c r="M478" s="202"/>
      <c r="N478" s="202"/>
      <c r="O478" s="202"/>
      <c r="P478" s="202"/>
      <c r="Q478" s="202"/>
      <c r="R478" s="202"/>
      <c r="S478" s="202"/>
      <c r="T478" s="202"/>
      <c r="U478" s="202"/>
      <c r="V478" s="144"/>
      <c r="W478" s="144"/>
      <c r="X478" s="144"/>
      <c r="Y478" s="202"/>
      <c r="Z478" s="202"/>
      <c r="AA478" s="205"/>
      <c r="AB478" s="775">
        <f>(G110*1000)-F83-(M484/2)</f>
        <v>470</v>
      </c>
      <c r="AC478" s="776"/>
      <c r="AD478" s="776"/>
      <c r="AE478" s="729" t="s">
        <v>2</v>
      </c>
      <c r="AF478" s="729"/>
      <c r="AG478" s="729"/>
      <c r="AH478" s="906" t="str">
        <f>IF(AB478&gt;AB477,"Safe","Hence Unsafe")</f>
        <v>Safe</v>
      </c>
      <c r="AI478" s="906"/>
      <c r="AJ478" s="906"/>
      <c r="AK478" s="906"/>
      <c r="AL478" s="907"/>
      <c r="AM478" s="196"/>
      <c r="AN478" s="196"/>
      <c r="AO478" s="196"/>
      <c r="AP478" s="196"/>
      <c r="AQ478" s="196"/>
      <c r="AR478" s="196"/>
      <c r="AS478" s="196"/>
      <c r="AT478" s="196"/>
      <c r="AU478" s="196"/>
      <c r="AV478" s="196"/>
      <c r="AW478" s="196"/>
      <c r="AX478" s="196"/>
      <c r="AY478" s="196"/>
      <c r="AZ478" s="196"/>
      <c r="BA478" s="196"/>
      <c r="BB478" s="196"/>
      <c r="BC478" s="196"/>
      <c r="BD478" s="196"/>
      <c r="BE478" s="196"/>
      <c r="BF478" s="196"/>
      <c r="BG478" s="196"/>
      <c r="BH478" s="196"/>
      <c r="BI478" s="196"/>
      <c r="BJ478" s="196"/>
      <c r="BK478" s="196"/>
      <c r="BL478" s="196"/>
      <c r="BM478" s="196"/>
      <c r="BN478" s="196"/>
      <c r="BO478" s="196"/>
      <c r="BP478" s="196"/>
      <c r="BQ478" s="196"/>
      <c r="BR478" s="196"/>
      <c r="BS478" s="196"/>
      <c r="BT478" s="196"/>
    </row>
    <row r="479" spans="1:92" s="165" customFormat="1" x14ac:dyDescent="0.35">
      <c r="A479" s="201"/>
      <c r="B479" s="201"/>
      <c r="C479" s="768">
        <v>4</v>
      </c>
      <c r="D479" s="769"/>
      <c r="E479" s="188" t="s">
        <v>196</v>
      </c>
      <c r="F479" s="128"/>
      <c r="G479" s="128"/>
      <c r="H479" s="128"/>
      <c r="I479" s="128"/>
      <c r="J479" s="199"/>
      <c r="K479" s="199"/>
      <c r="L479" s="199"/>
      <c r="M479" s="199"/>
      <c r="N479" s="199"/>
      <c r="O479" s="128"/>
      <c r="P479" s="128"/>
      <c r="Q479" s="128"/>
      <c r="R479" s="128"/>
      <c r="S479" s="199"/>
      <c r="T479" s="199"/>
      <c r="U479" s="199"/>
      <c r="V479" s="189"/>
      <c r="W479" s="189"/>
      <c r="X479" s="189"/>
      <c r="Y479" s="189"/>
      <c r="Z479" s="189"/>
      <c r="AA479" s="203"/>
      <c r="AB479" s="773">
        <f>((0.5*U43)/U44)*(1-SQRT(1-((4.6*X470*10^6)/(U43*1000*AB478^2))))*1000*AB478</f>
        <v>4.7843156912714129</v>
      </c>
      <c r="AC479" s="774"/>
      <c r="AD479" s="774"/>
      <c r="AE479" s="670" t="s">
        <v>199</v>
      </c>
      <c r="AF479" s="670"/>
      <c r="AG479" s="670"/>
      <c r="AH479" s="199"/>
      <c r="AI479" s="190"/>
      <c r="AJ479" s="190"/>
      <c r="AK479" s="199"/>
      <c r="AL479" s="203"/>
      <c r="AM479" s="196"/>
      <c r="AN479" s="196"/>
      <c r="AO479" s="196"/>
      <c r="AP479" s="196"/>
      <c r="AQ479" s="196"/>
      <c r="AR479" s="196"/>
      <c r="AS479" s="196"/>
      <c r="AT479" s="196"/>
      <c r="AU479" s="196"/>
      <c r="AV479" s="196"/>
      <c r="AW479" s="196"/>
      <c r="AX479" s="196"/>
      <c r="AY479" s="196"/>
      <c r="AZ479" s="196"/>
      <c r="BA479" s="196"/>
      <c r="BB479" s="86"/>
      <c r="BC479" s="86"/>
      <c r="BD479" s="86"/>
      <c r="BE479" s="86"/>
      <c r="BF479" s="86"/>
      <c r="BG479" s="86"/>
      <c r="BH479" s="86"/>
      <c r="BI479" s="86"/>
      <c r="BJ479" s="86"/>
      <c r="BK479" s="86"/>
      <c r="BL479" s="86"/>
      <c r="BM479" s="86"/>
      <c r="BN479" s="86"/>
      <c r="BO479" s="86"/>
      <c r="BP479" s="86"/>
      <c r="BQ479" s="86"/>
      <c r="BR479" s="196"/>
      <c r="BS479" s="196"/>
      <c r="BT479" s="196"/>
    </row>
    <row r="480" spans="1:92" s="165" customFormat="1" x14ac:dyDescent="0.35">
      <c r="A480" s="201"/>
      <c r="B480" s="201"/>
      <c r="C480" s="770"/>
      <c r="D480" s="771"/>
      <c r="E480" s="180"/>
      <c r="F480" s="123"/>
      <c r="G480" s="123"/>
      <c r="H480" s="123"/>
      <c r="I480" s="123"/>
      <c r="J480" s="198"/>
      <c r="K480" s="198"/>
      <c r="L480" s="198"/>
      <c r="M480" s="198"/>
      <c r="N480" s="198"/>
      <c r="O480" s="198"/>
      <c r="P480" s="198"/>
      <c r="Q480" s="198"/>
      <c r="R480" s="198"/>
      <c r="S480" s="198"/>
      <c r="T480" s="198"/>
      <c r="U480" s="198"/>
      <c r="V480" s="198"/>
      <c r="W480" s="198"/>
      <c r="X480" s="198"/>
      <c r="Y480" s="198"/>
      <c r="Z480" s="198"/>
      <c r="AA480" s="204"/>
      <c r="AB480" s="732"/>
      <c r="AC480" s="733"/>
      <c r="AD480" s="733"/>
      <c r="AE480" s="672"/>
      <c r="AF480" s="672"/>
      <c r="AG480" s="672"/>
      <c r="AH480" s="191"/>
      <c r="AI480" s="191"/>
      <c r="AJ480" s="191"/>
      <c r="AK480" s="198"/>
      <c r="AL480" s="204"/>
      <c r="AM480" s="196"/>
      <c r="AN480" s="196"/>
      <c r="AO480" s="196"/>
      <c r="AP480" s="196"/>
      <c r="AQ480" s="196"/>
      <c r="AR480" s="196"/>
      <c r="AS480" s="196"/>
      <c r="AT480" s="196"/>
      <c r="AU480" s="196"/>
      <c r="AV480" s="196"/>
      <c r="AW480" s="196"/>
      <c r="AX480" s="196"/>
      <c r="AY480" s="196"/>
      <c r="AZ480" s="196"/>
      <c r="BA480" s="196"/>
      <c r="BB480" s="196"/>
      <c r="BC480" s="196"/>
      <c r="BD480" s="196"/>
      <c r="BE480" s="196"/>
      <c r="BF480" s="196"/>
      <c r="BG480" s="196"/>
      <c r="BH480" s="196"/>
      <c r="BI480" s="196"/>
      <c r="BJ480" s="196"/>
      <c r="BK480" s="196"/>
      <c r="BL480" s="196"/>
      <c r="BM480" s="695"/>
      <c r="BN480" s="695"/>
      <c r="BO480" s="695"/>
      <c r="BP480" s="695"/>
      <c r="BQ480" s="695"/>
      <c r="BR480" s="196"/>
      <c r="BS480" s="196"/>
      <c r="BT480" s="196"/>
    </row>
    <row r="481" spans="1:79" s="165" customFormat="1" x14ac:dyDescent="0.35">
      <c r="A481" s="201"/>
      <c r="B481" s="201"/>
      <c r="C481" s="768">
        <v>5</v>
      </c>
      <c r="D481" s="769"/>
      <c r="E481" s="207" t="s">
        <v>197</v>
      </c>
      <c r="F481" s="199"/>
      <c r="G481" s="199"/>
      <c r="H481" s="199"/>
      <c r="I481" s="199"/>
      <c r="J481" s="199"/>
      <c r="K481" s="199"/>
      <c r="L481" s="199"/>
      <c r="M481" s="199"/>
      <c r="N481" s="199"/>
      <c r="O481" s="192"/>
      <c r="P481" s="192"/>
      <c r="Q481" s="192"/>
      <c r="R481" s="192"/>
      <c r="S481" s="192"/>
      <c r="T481" s="128"/>
      <c r="U481" s="128"/>
      <c r="V481" s="128"/>
      <c r="W481" s="199"/>
      <c r="X481" s="199"/>
      <c r="Y481" s="199"/>
      <c r="Z481" s="199"/>
      <c r="AA481" s="203"/>
      <c r="AB481" s="773">
        <f>MAX((0.26*(U54/U45)*1000*(AVERAGE(G110,AD111)*1000)),(0.0013*1000*(AVERAGE(G110,AD111)*1000)))</f>
        <v>617.50000000000011</v>
      </c>
      <c r="AC481" s="774"/>
      <c r="AD481" s="774"/>
      <c r="AE481" s="670" t="s">
        <v>199</v>
      </c>
      <c r="AF481" s="670"/>
      <c r="AG481" s="670"/>
      <c r="AH481" s="199"/>
      <c r="AI481" s="199"/>
      <c r="AJ481" s="199"/>
      <c r="AK481" s="199"/>
      <c r="AL481" s="203"/>
      <c r="AM481" s="196"/>
      <c r="AN481" s="196"/>
      <c r="AO481" s="196"/>
      <c r="AP481" s="196"/>
      <c r="AQ481" s="196"/>
      <c r="AR481" s="196"/>
      <c r="AS481" s="196"/>
      <c r="AT481" s="196"/>
      <c r="AU481" s="196"/>
      <c r="AV481" s="196"/>
      <c r="AW481" s="196"/>
      <c r="AX481" s="196"/>
      <c r="AY481" s="196"/>
      <c r="AZ481" s="196"/>
      <c r="BA481" s="196"/>
      <c r="BB481" s="196"/>
      <c r="BC481" s="196"/>
      <c r="BD481" s="196"/>
      <c r="BE481" s="196"/>
      <c r="BF481" s="196"/>
      <c r="BG481" s="196"/>
      <c r="BH481" s="196"/>
      <c r="BI481" s="196"/>
      <c r="BJ481" s="196"/>
      <c r="BK481" s="196"/>
      <c r="BL481" s="196"/>
      <c r="BM481" s="196"/>
      <c r="BN481" s="196"/>
      <c r="BO481" s="196"/>
      <c r="BP481" s="196"/>
      <c r="BQ481" s="196"/>
      <c r="BR481" s="196"/>
      <c r="BS481" s="196"/>
      <c r="BT481" s="196"/>
    </row>
    <row r="482" spans="1:79" s="165" customFormat="1" x14ac:dyDescent="0.35">
      <c r="A482" s="201"/>
      <c r="B482" s="201"/>
      <c r="C482" s="770"/>
      <c r="D482" s="771"/>
      <c r="E482" s="193" t="s">
        <v>198</v>
      </c>
      <c r="F482" s="198"/>
      <c r="G482" s="198"/>
      <c r="H482" s="198"/>
      <c r="I482" s="198"/>
      <c r="J482" s="198"/>
      <c r="K482" s="198"/>
      <c r="L482" s="198"/>
      <c r="M482" s="198"/>
      <c r="N482" s="198"/>
      <c r="O482" s="198"/>
      <c r="P482" s="198"/>
      <c r="Q482" s="198"/>
      <c r="R482" s="198"/>
      <c r="S482" s="198"/>
      <c r="T482" s="198"/>
      <c r="U482" s="198"/>
      <c r="V482" s="198"/>
      <c r="W482" s="198"/>
      <c r="X482" s="198"/>
      <c r="Y482" s="198"/>
      <c r="Z482" s="198"/>
      <c r="AA482" s="194"/>
      <c r="AB482" s="732"/>
      <c r="AC482" s="733"/>
      <c r="AD482" s="733"/>
      <c r="AE482" s="672"/>
      <c r="AF482" s="672"/>
      <c r="AG482" s="672"/>
      <c r="AH482" s="198"/>
      <c r="AI482" s="198"/>
      <c r="AJ482" s="198"/>
      <c r="AK482" s="198"/>
      <c r="AL482" s="204"/>
      <c r="AM482" s="196"/>
      <c r="AN482" s="196"/>
      <c r="AO482" s="196"/>
      <c r="AP482" s="196"/>
      <c r="AQ482" s="196"/>
      <c r="AR482" s="196"/>
      <c r="AS482" s="196"/>
      <c r="AT482" s="196"/>
      <c r="AU482" s="196"/>
      <c r="AV482" s="196"/>
      <c r="AW482" s="196"/>
      <c r="AX482" s="196"/>
      <c r="AY482" s="196"/>
      <c r="AZ482" s="196"/>
      <c r="BA482" s="196"/>
      <c r="BB482" s="196"/>
      <c r="BC482" s="196"/>
      <c r="BD482" s="196"/>
      <c r="BE482" s="196"/>
      <c r="BF482" s="196"/>
      <c r="BG482" s="196"/>
      <c r="BH482" s="196"/>
      <c r="BI482" s="196"/>
      <c r="BJ482" s="196"/>
      <c r="BK482" s="196"/>
      <c r="BL482" s="196"/>
      <c r="BM482" s="196"/>
      <c r="BN482" s="196"/>
      <c r="BO482" s="196"/>
      <c r="BP482" s="196"/>
      <c r="BQ482" s="196"/>
      <c r="BR482" s="196"/>
      <c r="BS482" s="196"/>
      <c r="BT482" s="196"/>
    </row>
    <row r="483" spans="1:79" s="165" customFormat="1" x14ac:dyDescent="0.35">
      <c r="A483" s="201"/>
      <c r="B483" s="201"/>
      <c r="C483" s="768">
        <v>6</v>
      </c>
      <c r="D483" s="769"/>
      <c r="E483" s="207" t="s">
        <v>447</v>
      </c>
      <c r="F483" s="199"/>
      <c r="G483" s="199"/>
      <c r="H483" s="199"/>
      <c r="I483" s="199"/>
      <c r="J483" s="199"/>
      <c r="K483" s="199"/>
      <c r="L483" s="199"/>
      <c r="M483" s="199"/>
      <c r="N483" s="199"/>
      <c r="O483" s="199"/>
      <c r="P483" s="199"/>
      <c r="Q483" s="199"/>
      <c r="R483" s="199"/>
      <c r="S483" s="199"/>
      <c r="T483" s="199"/>
      <c r="U483" s="199"/>
      <c r="V483" s="199"/>
      <c r="W483" s="199"/>
      <c r="X483" s="199"/>
      <c r="Y483" s="199"/>
      <c r="Z483" s="199"/>
      <c r="AA483" s="203"/>
      <c r="AB483" s="432" t="s">
        <v>475</v>
      </c>
      <c r="AC483" s="199"/>
      <c r="AD483" s="199"/>
      <c r="AE483" s="199"/>
      <c r="AF483" s="199"/>
      <c r="AG483" s="199"/>
      <c r="AH483" s="199"/>
      <c r="AI483" s="199"/>
      <c r="AJ483" s="199"/>
      <c r="AK483" s="199"/>
      <c r="AL483" s="203"/>
      <c r="AM483" s="201"/>
      <c r="AN483" s="196"/>
      <c r="AO483" s="196"/>
      <c r="AP483" s="196"/>
      <c r="AQ483" s="196"/>
      <c r="AR483" s="196"/>
      <c r="AS483" s="196"/>
      <c r="AT483" s="196"/>
      <c r="AU483" s="196"/>
      <c r="AV483" s="196"/>
      <c r="AW483" s="196"/>
      <c r="AX483" s="196"/>
      <c r="AY483" s="196"/>
      <c r="AZ483" s="196"/>
      <c r="BA483" s="196"/>
      <c r="BB483" s="196"/>
      <c r="BC483" s="196"/>
      <c r="BD483" s="196"/>
      <c r="BE483" s="196"/>
      <c r="BF483" s="196"/>
      <c r="BG483" s="196"/>
      <c r="BH483" s="196"/>
      <c r="BI483" s="196"/>
      <c r="BJ483" s="196"/>
      <c r="BK483" s="196"/>
      <c r="BL483" s="196"/>
      <c r="BM483" s="196"/>
      <c r="BN483" s="196"/>
      <c r="BO483" s="196"/>
      <c r="BP483" s="196"/>
      <c r="BQ483" s="196"/>
      <c r="BR483" s="196"/>
      <c r="BS483" s="196"/>
      <c r="BT483" s="196"/>
    </row>
    <row r="484" spans="1:79" s="165" customFormat="1" ht="15" customHeight="1" x14ac:dyDescent="0.35">
      <c r="A484" s="201"/>
      <c r="B484" s="201"/>
      <c r="C484" s="904"/>
      <c r="D484" s="905"/>
      <c r="E484" s="179" t="s">
        <v>202</v>
      </c>
      <c r="F484" s="154"/>
      <c r="G484" s="154"/>
      <c r="H484" s="154" t="s">
        <v>23</v>
      </c>
      <c r="I484" s="154"/>
      <c r="J484" s="154"/>
      <c r="K484" s="154"/>
      <c r="L484" s="201"/>
      <c r="M484" s="760">
        <v>10</v>
      </c>
      <c r="N484" s="760"/>
      <c r="O484" s="200" t="s">
        <v>201</v>
      </c>
      <c r="P484" s="789">
        <v>100</v>
      </c>
      <c r="Q484" s="789"/>
      <c r="R484" s="789"/>
      <c r="S484" s="789"/>
      <c r="T484" s="789"/>
      <c r="U484" s="789"/>
      <c r="V484" s="789"/>
      <c r="W484" s="154"/>
      <c r="X484" s="176"/>
      <c r="Y484" s="201"/>
      <c r="Z484" s="201"/>
      <c r="AA484" s="124"/>
      <c r="AB484" s="731">
        <f>IF(M485=0,((PI()/4*M484^2)*(1000/P484)),(((PI()/4*M484^2)*(1000/P484))+((PI()/4*M485^2)*(1000/P485))))</f>
        <v>785.39816339744834</v>
      </c>
      <c r="AC484" s="693"/>
      <c r="AD484" s="693"/>
      <c r="AE484" s="704" t="s">
        <v>199</v>
      </c>
      <c r="AF484" s="704"/>
      <c r="AG484" s="704"/>
      <c r="AH484" s="698" t="str">
        <f>IF(AB484&gt;MAX(AB479:AD482),"Safe","Hence Unsafe")</f>
        <v>Safe</v>
      </c>
      <c r="AI484" s="698"/>
      <c r="AJ484" s="698"/>
      <c r="AK484" s="698"/>
      <c r="AL484" s="699"/>
      <c r="AM484" s="182"/>
      <c r="AN484" s="196"/>
      <c r="AO484" s="196"/>
      <c r="AP484" s="196"/>
      <c r="AQ484" s="196"/>
      <c r="AR484" s="196"/>
      <c r="AS484" s="695">
        <f>((PI()/4*M484^2)*(1000/P484))</f>
        <v>785.39816339744834</v>
      </c>
      <c r="AT484" s="695"/>
      <c r="AU484" s="695"/>
      <c r="AV484" s="695"/>
      <c r="AW484" s="196"/>
      <c r="AX484" s="196"/>
      <c r="AY484" s="196"/>
      <c r="AZ484" s="196"/>
      <c r="BA484" s="196"/>
      <c r="BB484" s="196"/>
      <c r="BC484" s="196"/>
      <c r="BD484" s="196"/>
      <c r="BE484" s="196"/>
      <c r="BF484" s="196"/>
      <c r="BG484" s="196"/>
      <c r="BH484" s="196"/>
      <c r="BI484" s="196"/>
      <c r="BJ484" s="196"/>
      <c r="BK484" s="196"/>
      <c r="BL484" s="196"/>
      <c r="BM484" s="196"/>
      <c r="BN484" s="196"/>
      <c r="BO484" s="196"/>
      <c r="BP484" s="196"/>
      <c r="BQ484" s="196"/>
      <c r="BR484" s="196"/>
      <c r="BS484" s="196"/>
      <c r="BT484" s="196"/>
    </row>
    <row r="485" spans="1:79" s="196" customFormat="1" ht="15" customHeight="1" x14ac:dyDescent="0.35">
      <c r="A485" s="201"/>
      <c r="B485" s="201"/>
      <c r="C485" s="770"/>
      <c r="D485" s="771"/>
      <c r="E485" s="180" t="s">
        <v>203</v>
      </c>
      <c r="F485" s="123"/>
      <c r="G485" s="123"/>
      <c r="H485" s="123" t="s">
        <v>23</v>
      </c>
      <c r="I485" s="123"/>
      <c r="J485" s="123"/>
      <c r="K485" s="123"/>
      <c r="L485" s="198"/>
      <c r="M485" s="762">
        <v>0</v>
      </c>
      <c r="N485" s="762"/>
      <c r="O485" s="197" t="s">
        <v>201</v>
      </c>
      <c r="P485" s="730">
        <v>0</v>
      </c>
      <c r="Q485" s="730"/>
      <c r="R485" s="730"/>
      <c r="S485" s="730"/>
      <c r="T485" s="730"/>
      <c r="U485" s="730"/>
      <c r="V485" s="730"/>
      <c r="W485" s="123"/>
      <c r="X485" s="123"/>
      <c r="Y485" s="198"/>
      <c r="Z485" s="198"/>
      <c r="AA485" s="204"/>
      <c r="AB485" s="732"/>
      <c r="AC485" s="733"/>
      <c r="AD485" s="733"/>
      <c r="AE485" s="672"/>
      <c r="AF485" s="672"/>
      <c r="AG485" s="672"/>
      <c r="AH485" s="700"/>
      <c r="AI485" s="700"/>
      <c r="AJ485" s="700"/>
      <c r="AK485" s="700"/>
      <c r="AL485" s="701"/>
      <c r="AM485" s="182"/>
      <c r="AS485" s="695" t="e">
        <f>((PI()/4*M485^2)*(1000/P485))</f>
        <v>#DIV/0!</v>
      </c>
      <c r="AT485" s="695"/>
      <c r="AU485" s="695"/>
      <c r="AV485" s="695"/>
      <c r="AY485" s="283"/>
      <c r="AZ485" s="283"/>
      <c r="BA485" s="283"/>
      <c r="BB485" s="283"/>
      <c r="BC485" s="434"/>
      <c r="BD485" s="434"/>
      <c r="BE485" s="283"/>
      <c r="BF485" s="283"/>
      <c r="BG485" s="283"/>
      <c r="BH485" s="283"/>
      <c r="BI485" s="697">
        <f>AE286</f>
        <v>87.421666869078393</v>
      </c>
      <c r="BJ485" s="697"/>
      <c r="BK485" s="697"/>
      <c r="BL485" s="424"/>
      <c r="BM485" s="424"/>
      <c r="BN485" s="283"/>
      <c r="BO485" s="283"/>
      <c r="BP485" s="283"/>
      <c r="BQ485" s="283"/>
      <c r="BR485" s="434"/>
      <c r="BS485" s="434"/>
      <c r="BT485" s="283"/>
      <c r="BU485" s="283"/>
      <c r="BV485" s="283"/>
      <c r="BW485" s="283"/>
      <c r="BX485" s="697">
        <f>AE286</f>
        <v>87.421666869078393</v>
      </c>
      <c r="BY485" s="697"/>
      <c r="BZ485" s="697"/>
      <c r="CA485" s="424"/>
    </row>
    <row r="486" spans="1:79" s="196" customFormat="1" ht="14.5" x14ac:dyDescent="0.35">
      <c r="A486" s="201"/>
      <c r="B486" s="201"/>
      <c r="C486" s="768">
        <v>7</v>
      </c>
      <c r="D486" s="769"/>
      <c r="E486" s="748" t="s">
        <v>205</v>
      </c>
      <c r="F486" s="749"/>
      <c r="G486" s="749"/>
      <c r="H486" s="749"/>
      <c r="I486" s="749"/>
      <c r="J486" s="749"/>
      <c r="K486" s="749"/>
      <c r="L486" s="749"/>
      <c r="M486" s="749"/>
      <c r="N486" s="749"/>
      <c r="O486" s="749"/>
      <c r="P486" s="749"/>
      <c r="Q486" s="749"/>
      <c r="R486" s="749"/>
      <c r="S486" s="749"/>
      <c r="T486" s="749"/>
      <c r="U486" s="749"/>
      <c r="V486" s="749"/>
      <c r="W486" s="749"/>
      <c r="X486" s="749"/>
      <c r="Y486" s="749"/>
      <c r="Z486" s="749"/>
      <c r="AA486" s="750"/>
      <c r="AB486" s="432" t="s">
        <v>475</v>
      </c>
      <c r="AC486" s="199"/>
      <c r="AD486" s="199"/>
      <c r="AE486" s="199"/>
      <c r="AF486" s="199"/>
      <c r="AG486" s="199"/>
      <c r="AH486" s="199"/>
      <c r="AI486" s="199"/>
      <c r="AJ486" s="199"/>
      <c r="AK486" s="199"/>
      <c r="AL486" s="203"/>
      <c r="AM486" s="201"/>
      <c r="AY486" s="697">
        <f>AS446</f>
        <v>78.885223138212112</v>
      </c>
      <c r="AZ486" s="697"/>
      <c r="BA486" s="697"/>
      <c r="BB486" s="283"/>
      <c r="BC486" s="434"/>
      <c r="BD486" s="434"/>
      <c r="BE486" s="283"/>
      <c r="BF486" s="283"/>
      <c r="BG486" s="285"/>
      <c r="BH486" s="285"/>
      <c r="BI486" s="291" t="s">
        <v>10</v>
      </c>
      <c r="BJ486" s="286"/>
      <c r="BK486" s="283"/>
      <c r="BL486" s="424"/>
      <c r="BM486" s="424"/>
      <c r="BN486" s="697">
        <f>AE290</f>
        <v>80.49386359065457</v>
      </c>
      <c r="BO486" s="697"/>
      <c r="BP486" s="697"/>
      <c r="BQ486" s="283"/>
      <c r="BR486" s="434"/>
      <c r="BS486" s="434"/>
      <c r="BT486" s="283"/>
      <c r="BU486" s="283"/>
      <c r="BV486" s="285"/>
      <c r="BW486" s="285"/>
      <c r="BX486" s="291" t="s">
        <v>10</v>
      </c>
      <c r="BY486" s="286"/>
      <c r="BZ486" s="283"/>
      <c r="CA486" s="424"/>
    </row>
    <row r="487" spans="1:79" s="196" customFormat="1" ht="15" customHeight="1" x14ac:dyDescent="0.35">
      <c r="A487" s="201"/>
      <c r="B487" s="201"/>
      <c r="C487" s="770"/>
      <c r="D487" s="771"/>
      <c r="E487" s="180" t="s">
        <v>207</v>
      </c>
      <c r="F487" s="123"/>
      <c r="G487" s="123"/>
      <c r="H487" s="123"/>
      <c r="I487" s="123"/>
      <c r="J487" s="123"/>
      <c r="K487" s="123"/>
      <c r="L487" s="198"/>
      <c r="M487" s="198"/>
      <c r="N487" s="198"/>
      <c r="O487" s="198"/>
      <c r="P487" s="198" t="s">
        <v>0</v>
      </c>
      <c r="Q487" s="762">
        <v>8</v>
      </c>
      <c r="R487" s="762"/>
      <c r="S487" s="197" t="s">
        <v>201</v>
      </c>
      <c r="T487" s="730">
        <v>200</v>
      </c>
      <c r="U487" s="730"/>
      <c r="V487" s="730"/>
      <c r="W487" s="730"/>
      <c r="X487" s="730"/>
      <c r="Y487" s="730"/>
      <c r="Z487" s="730"/>
      <c r="AA487" s="204"/>
      <c r="AB487" s="732">
        <f>((PI()/4*Q487^2)*(1000/T487))</f>
        <v>251.32741228718345</v>
      </c>
      <c r="AC487" s="733"/>
      <c r="AD487" s="733"/>
      <c r="AE487" s="672" t="s">
        <v>199</v>
      </c>
      <c r="AF487" s="672"/>
      <c r="AG487" s="672"/>
      <c r="AH487" s="700" t="str">
        <f>IF(AB487&gt;(20%*AB484),"Safe","Hence Unsafe")</f>
        <v>Safe</v>
      </c>
      <c r="AI487" s="700"/>
      <c r="AJ487" s="700"/>
      <c r="AK487" s="700"/>
      <c r="AL487" s="701"/>
      <c r="AM487" s="201"/>
      <c r="AY487" s="291" t="s">
        <v>10</v>
      </c>
      <c r="AZ487" s="283"/>
      <c r="BA487" s="283"/>
      <c r="BB487" s="283"/>
      <c r="BC487" s="434"/>
      <c r="BD487" s="434"/>
      <c r="BE487" s="283"/>
      <c r="BF487" s="283"/>
      <c r="BG487" s="285"/>
      <c r="BH487" s="285"/>
      <c r="BI487" s="283"/>
      <c r="BJ487" s="286"/>
      <c r="BK487" s="283"/>
      <c r="BL487" s="424"/>
      <c r="BM487" s="424"/>
      <c r="BN487" s="291" t="s">
        <v>10</v>
      </c>
      <c r="BO487" s="283"/>
      <c r="BP487" s="283"/>
      <c r="BQ487" s="283"/>
      <c r="BR487" s="434"/>
      <c r="BS487" s="434"/>
      <c r="BT487" s="283"/>
      <c r="BU487" s="283"/>
      <c r="BV487" s="285"/>
      <c r="BW487" s="285"/>
      <c r="BX487" s="283"/>
      <c r="BY487" s="286"/>
      <c r="BZ487" s="283"/>
      <c r="CA487" s="424"/>
    </row>
    <row r="488" spans="1:79" s="328" customFormat="1" ht="15" customHeight="1" x14ac:dyDescent="0.25">
      <c r="A488" s="329"/>
      <c r="B488" s="329"/>
      <c r="C488" s="40"/>
      <c r="D488" s="40"/>
      <c r="E488" s="154"/>
      <c r="F488" s="154"/>
      <c r="G488" s="154"/>
      <c r="H488" s="154"/>
      <c r="I488" s="154"/>
      <c r="J488" s="154"/>
      <c r="K488" s="154"/>
      <c r="L488" s="329"/>
      <c r="M488" s="329"/>
      <c r="N488" s="329"/>
      <c r="O488" s="329"/>
      <c r="P488" s="329"/>
      <c r="Q488" s="336"/>
      <c r="R488" s="336"/>
      <c r="S488" s="336"/>
      <c r="T488" s="337"/>
      <c r="U488" s="337"/>
      <c r="V488" s="337"/>
      <c r="W488" s="337"/>
      <c r="X488" s="337"/>
      <c r="Y488" s="337"/>
      <c r="Z488" s="337"/>
      <c r="AA488" s="329"/>
      <c r="AB488" s="334"/>
      <c r="AC488" s="334"/>
      <c r="AD488" s="334"/>
      <c r="AE488" s="329"/>
      <c r="AF488" s="329"/>
      <c r="AG488" s="329"/>
      <c r="AH488" s="331"/>
      <c r="AI488" s="331"/>
      <c r="AJ488" s="331"/>
      <c r="AK488" s="331"/>
      <c r="AL488" s="331"/>
      <c r="AM488" s="329"/>
      <c r="AY488" s="424"/>
      <c r="AZ488" s="424"/>
      <c r="BA488" s="424"/>
      <c r="BB488" s="392" t="s">
        <v>412</v>
      </c>
      <c r="BC488" s="424"/>
      <c r="BD488" s="424"/>
      <c r="BE488" s="424"/>
      <c r="BF488" s="424"/>
      <c r="BG488" s="424"/>
      <c r="BH488" s="424"/>
      <c r="BI488" s="424"/>
      <c r="BJ488" s="424"/>
      <c r="BK488" s="424"/>
      <c r="BL488" s="424"/>
      <c r="BM488" s="424"/>
      <c r="BN488" s="424"/>
      <c r="BO488" s="424"/>
      <c r="BP488" s="424"/>
      <c r="BQ488" s="392" t="s">
        <v>412</v>
      </c>
      <c r="BR488" s="424"/>
      <c r="BS488" s="424"/>
      <c r="BT488" s="424"/>
      <c r="BU488" s="424"/>
      <c r="BV488" s="424"/>
      <c r="BW488" s="424"/>
      <c r="BX488" s="424"/>
      <c r="BY488" s="424"/>
      <c r="BZ488" s="424"/>
      <c r="CA488" s="424"/>
    </row>
    <row r="489" spans="1:79" s="465" customFormat="1" ht="15" customHeight="1" x14ac:dyDescent="0.25">
      <c r="A489" s="463"/>
      <c r="B489" s="463"/>
      <c r="C489" s="233" t="s">
        <v>507</v>
      </c>
      <c r="D489" s="40"/>
      <c r="E489" s="154"/>
      <c r="F489" s="154"/>
      <c r="G489" s="154"/>
      <c r="H489" s="154"/>
      <c r="I489" s="154"/>
      <c r="J489" s="154"/>
      <c r="K489" s="154"/>
      <c r="L489" s="463"/>
      <c r="M489" s="463"/>
      <c r="N489" s="463"/>
      <c r="O489" s="463"/>
      <c r="P489" s="463"/>
      <c r="Q489" s="467"/>
      <c r="R489" s="467"/>
      <c r="S489" s="467"/>
      <c r="T489" s="468"/>
      <c r="U489" s="468"/>
      <c r="V489" s="468"/>
      <c r="W489" s="468"/>
      <c r="X489" s="468"/>
      <c r="Y489" s="468"/>
      <c r="Z489" s="468"/>
      <c r="AA489" s="463"/>
      <c r="AB489" s="464"/>
      <c r="AC489" s="464"/>
      <c r="AD489" s="464"/>
      <c r="AE489" s="463"/>
      <c r="AF489" s="463"/>
      <c r="AG489" s="463"/>
      <c r="AH489" s="466"/>
      <c r="AI489" s="466"/>
      <c r="AJ489" s="466"/>
      <c r="AK489" s="466"/>
      <c r="AL489" s="466"/>
      <c r="AM489" s="463"/>
      <c r="BB489" s="392"/>
      <c r="BQ489" s="392"/>
    </row>
    <row r="490" spans="1:79" s="465" customFormat="1" ht="15" customHeight="1" x14ac:dyDescent="0.25">
      <c r="A490" s="463"/>
      <c r="B490" s="463"/>
      <c r="C490" s="40"/>
      <c r="D490" s="40"/>
      <c r="E490" s="154"/>
      <c r="F490" s="154"/>
      <c r="G490" s="154"/>
      <c r="H490" s="154"/>
      <c r="I490" s="154"/>
      <c r="J490" s="154"/>
      <c r="K490" s="154"/>
      <c r="L490" s="463"/>
      <c r="M490" s="463"/>
      <c r="N490" s="463"/>
      <c r="O490" s="463"/>
      <c r="P490" s="463"/>
      <c r="Q490" s="467"/>
      <c r="R490" s="467"/>
      <c r="S490" s="467"/>
      <c r="T490" s="468"/>
      <c r="U490" s="468"/>
      <c r="V490" s="468"/>
      <c r="W490" s="468"/>
      <c r="X490" s="468"/>
      <c r="Y490" s="468"/>
      <c r="Z490" s="468"/>
      <c r="AA490" s="463"/>
      <c r="AB490" s="464"/>
      <c r="AC490" s="464"/>
      <c r="AD490" s="464"/>
      <c r="AE490" s="463"/>
      <c r="AF490" s="463"/>
      <c r="AG490" s="463"/>
      <c r="AH490" s="466"/>
      <c r="AI490" s="466"/>
      <c r="AJ490" s="466"/>
      <c r="AK490" s="466"/>
      <c r="AL490" s="466"/>
      <c r="AM490" s="463"/>
      <c r="BB490" s="392"/>
      <c r="BQ490" s="392"/>
    </row>
    <row r="491" spans="1:79" s="424" customFormat="1" ht="15" customHeight="1" x14ac:dyDescent="0.35">
      <c r="A491" s="431"/>
      <c r="B491" s="431"/>
      <c r="C491" s="556"/>
      <c r="D491" s="557"/>
      <c r="E491" s="558"/>
      <c r="F491" s="558"/>
      <c r="G491" s="558"/>
      <c r="H491" s="558"/>
      <c r="I491" s="558"/>
      <c r="J491" s="558"/>
      <c r="K491" s="558"/>
      <c r="L491" s="548"/>
      <c r="M491" s="548"/>
      <c r="N491" s="548"/>
      <c r="O491" s="548"/>
      <c r="S491" s="431"/>
      <c r="T491" s="787"/>
      <c r="U491" s="787"/>
      <c r="V491" s="787"/>
      <c r="W491" s="787"/>
      <c r="X491" s="443"/>
      <c r="Y491" s="439"/>
      <c r="Z491" s="439"/>
      <c r="AA491" s="431"/>
      <c r="AB491" s="437"/>
      <c r="AC491" s="437"/>
      <c r="AD491" s="437"/>
      <c r="AE491" s="283"/>
      <c r="AF491" s="283"/>
      <c r="AG491" s="283"/>
      <c r="AH491" s="283"/>
      <c r="AI491" s="434"/>
      <c r="AJ491" s="434"/>
      <c r="AK491" s="283"/>
      <c r="AL491" s="283"/>
      <c r="AM491" s="283"/>
      <c r="AN491" s="283"/>
      <c r="AO491" s="447"/>
      <c r="AP491" s="447"/>
      <c r="AQ491" s="447"/>
      <c r="AT491" s="106"/>
      <c r="AU491" s="426"/>
      <c r="AV491" s="670" t="s">
        <v>403</v>
      </c>
      <c r="AW491" s="670"/>
      <c r="AX491" s="670"/>
      <c r="AY491" s="670"/>
      <c r="AZ491" s="670"/>
      <c r="BA491" s="670"/>
      <c r="BB491" s="670"/>
      <c r="BC491" s="426"/>
      <c r="BD491" s="426"/>
      <c r="BE491" s="426"/>
      <c r="BF491" s="427"/>
      <c r="BG491" s="106"/>
      <c r="BH491" s="426"/>
      <c r="BI491" s="128" t="s">
        <v>410</v>
      </c>
      <c r="BJ491" s="128"/>
      <c r="BK491" s="128"/>
      <c r="BL491" s="128"/>
      <c r="BM491" s="128"/>
      <c r="BN491" s="128"/>
      <c r="BO491" s="128"/>
      <c r="BP491" s="426"/>
      <c r="BQ491" s="426"/>
    </row>
    <row r="492" spans="1:79" s="424" customFormat="1" ht="15" customHeight="1" x14ac:dyDescent="0.35">
      <c r="A492" s="431"/>
      <c r="B492" s="431"/>
      <c r="C492" s="556"/>
      <c r="D492" s="557"/>
      <c r="E492" s="558"/>
      <c r="F492" s="558"/>
      <c r="G492" s="558"/>
      <c r="H492" s="558"/>
      <c r="I492" s="558"/>
      <c r="J492" s="558"/>
      <c r="K492" s="558"/>
      <c r="L492" s="548"/>
      <c r="M492" s="548"/>
      <c r="N492" s="548"/>
      <c r="O492" s="548"/>
      <c r="P492" s="431"/>
      <c r="Q492" s="441"/>
      <c r="R492" s="441"/>
      <c r="S492" s="441"/>
      <c r="T492" s="787"/>
      <c r="U492" s="787"/>
      <c r="V492" s="787"/>
      <c r="W492" s="787"/>
      <c r="X492" s="443"/>
      <c r="Y492" s="439"/>
      <c r="Z492" s="439"/>
      <c r="AA492" s="431"/>
      <c r="AB492" s="437"/>
      <c r="AC492" s="437"/>
      <c r="AD492" s="437"/>
      <c r="AH492" s="283"/>
      <c r="AI492" s="434"/>
      <c r="AJ492" s="434"/>
      <c r="AK492" s="283"/>
      <c r="AL492" s="283"/>
      <c r="AM492" s="285"/>
      <c r="AN492" s="285"/>
      <c r="AO492" s="291"/>
      <c r="AP492" s="286"/>
      <c r="AQ492" s="283"/>
      <c r="AT492" s="125"/>
      <c r="AU492" s="431"/>
      <c r="AV492" s="431"/>
      <c r="AW492" s="431"/>
      <c r="AX492" s="431"/>
      <c r="AY492" s="431"/>
      <c r="AZ492" s="431"/>
      <c r="BA492" s="431"/>
      <c r="BB492" s="431"/>
      <c r="BC492" s="431"/>
      <c r="BD492" s="431"/>
      <c r="BE492" s="431"/>
      <c r="BF492" s="124"/>
      <c r="BG492" s="125"/>
      <c r="BH492" s="431"/>
      <c r="BI492" s="431"/>
      <c r="BJ492" s="431"/>
      <c r="BK492" s="431"/>
      <c r="BL492" s="431"/>
      <c r="BM492" s="431"/>
      <c r="BN492" s="431"/>
      <c r="BO492" s="431"/>
      <c r="BP492" s="431"/>
      <c r="BQ492" s="431"/>
    </row>
    <row r="493" spans="1:79" s="424" customFormat="1" ht="15" customHeight="1" x14ac:dyDescent="0.35">
      <c r="A493" s="431"/>
      <c r="B493" s="431"/>
      <c r="C493" s="415" t="s">
        <v>552</v>
      </c>
      <c r="D493" s="40"/>
      <c r="E493" s="154"/>
      <c r="F493" s="154"/>
      <c r="G493" s="154"/>
      <c r="H493" s="154"/>
      <c r="I493" s="154"/>
      <c r="J493" s="154"/>
      <c r="K493" s="154"/>
      <c r="L493" s="431"/>
      <c r="M493" s="431"/>
      <c r="N493" s="431"/>
      <c r="O493" s="431"/>
      <c r="P493" s="431"/>
      <c r="Q493" s="441"/>
      <c r="R493" s="441"/>
      <c r="S493" s="441" t="s">
        <v>0</v>
      </c>
      <c r="T493" s="787">
        <f>(U74-(U71*Z113*(G110+AD111)*0.5))*0+AE252</f>
        <v>97.104557483157791</v>
      </c>
      <c r="U493" s="787"/>
      <c r="V493" s="787"/>
      <c r="W493" s="787"/>
      <c r="X493" s="443" t="s">
        <v>508</v>
      </c>
      <c r="AA493" s="431"/>
      <c r="AB493" s="437"/>
      <c r="AC493" s="437"/>
      <c r="AD493" s="437"/>
      <c r="AF493" s="283"/>
      <c r="AG493" s="283"/>
      <c r="AH493" s="283"/>
      <c r="AI493" s="434"/>
      <c r="AJ493" s="697">
        <f>T493</f>
        <v>97.104557483157791</v>
      </c>
      <c r="AK493" s="697"/>
      <c r="AL493" s="697"/>
      <c r="AM493" s="291" t="s">
        <v>10</v>
      </c>
      <c r="AN493" s="285"/>
      <c r="AO493" s="283"/>
      <c r="AP493" s="286"/>
      <c r="AQ493" s="283"/>
      <c r="AT493" s="390" t="s">
        <v>423</v>
      </c>
      <c r="AU493" s="415"/>
      <c r="AV493" s="325" t="s">
        <v>0</v>
      </c>
      <c r="AW493" s="692">
        <f>AVERAGE(AE268,AE270)</f>
        <v>75.875328071705354</v>
      </c>
      <c r="AX493" s="692"/>
      <c r="AY493" s="692"/>
      <c r="AZ493" s="325"/>
      <c r="BA493" s="325"/>
      <c r="BB493" s="325"/>
      <c r="BC493" s="431"/>
      <c r="BD493" s="431"/>
      <c r="BE493" s="431"/>
      <c r="BF493" s="124"/>
      <c r="BG493" s="390" t="s">
        <v>423</v>
      </c>
      <c r="BH493" s="415"/>
      <c r="BI493" s="325" t="s">
        <v>0</v>
      </c>
      <c r="BJ493" s="692">
        <f>AVERAGE(AE284,AE286)</f>
        <v>75.875328071705354</v>
      </c>
      <c r="BK493" s="692"/>
      <c r="BL493" s="692"/>
      <c r="BM493" s="692"/>
      <c r="BN493" s="325"/>
      <c r="BO493" s="325"/>
      <c r="BP493" s="431"/>
      <c r="BQ493" s="431"/>
    </row>
    <row r="494" spans="1:79" s="424" customFormat="1" ht="15" customHeight="1" x14ac:dyDescent="0.3">
      <c r="A494" s="431"/>
      <c r="B494" s="431"/>
      <c r="D494" s="40"/>
      <c r="E494" s="154"/>
      <c r="F494" s="154"/>
      <c r="G494" s="154"/>
      <c r="H494" s="140"/>
      <c r="I494" s="154"/>
      <c r="J494" s="154"/>
      <c r="K494" s="154"/>
      <c r="L494" s="431"/>
      <c r="M494" s="431"/>
      <c r="N494" s="431"/>
      <c r="O494" s="431"/>
      <c r="P494" s="431"/>
      <c r="Q494" s="441"/>
      <c r="R494" s="441"/>
      <c r="S494" s="441"/>
      <c r="T494" s="441"/>
      <c r="U494" s="443"/>
      <c r="V494" s="439"/>
      <c r="AC494" s="437"/>
      <c r="AD494" s="437"/>
      <c r="AG494" s="812" t="s">
        <v>509</v>
      </c>
      <c r="AH494" s="812"/>
      <c r="AI494" s="812"/>
      <c r="AJ494" s="812"/>
      <c r="AK494" s="812"/>
      <c r="AL494" s="812"/>
      <c r="AM494" s="812"/>
      <c r="AN494" s="812"/>
      <c r="AO494" s="812"/>
      <c r="AT494" s="390" t="s">
        <v>424</v>
      </c>
      <c r="AU494" s="415"/>
      <c r="AV494" s="325" t="s">
        <v>0</v>
      </c>
      <c r="AW494" s="692"/>
      <c r="AX494" s="692"/>
      <c r="AY494" s="692"/>
      <c r="AZ494" s="692"/>
      <c r="BA494" s="325"/>
      <c r="BB494" s="325"/>
      <c r="BC494" s="431"/>
      <c r="BD494" s="431"/>
      <c r="BE494" s="431"/>
      <c r="BF494" s="124"/>
      <c r="BG494" s="390"/>
      <c r="BH494" s="415"/>
      <c r="BI494" s="325"/>
      <c r="BJ494" s="692"/>
      <c r="BK494" s="692"/>
      <c r="BL494" s="692"/>
      <c r="BM494" s="692"/>
      <c r="BN494" s="325"/>
      <c r="BO494" s="325"/>
      <c r="BP494" s="431"/>
      <c r="BQ494" s="431"/>
    </row>
    <row r="495" spans="1:79" s="424" customFormat="1" ht="15" customHeight="1" x14ac:dyDescent="0.35">
      <c r="A495" s="431"/>
      <c r="B495" s="431"/>
      <c r="C495" s="415" t="s">
        <v>446</v>
      </c>
      <c r="D495" s="40"/>
      <c r="E495" s="154"/>
      <c r="F495" s="154"/>
      <c r="G495" s="154"/>
      <c r="H495" s="154"/>
      <c r="I495" s="154"/>
      <c r="J495" s="154"/>
      <c r="K495" s="154"/>
      <c r="L495" s="431"/>
      <c r="M495" s="431"/>
      <c r="N495" s="431"/>
      <c r="O495" s="431"/>
      <c r="P495" s="431"/>
      <c r="Q495" s="441"/>
      <c r="R495" s="441"/>
      <c r="S495" s="431" t="s">
        <v>0</v>
      </c>
      <c r="T495" s="787">
        <f>T493</f>
        <v>97.104557483157791</v>
      </c>
      <c r="U495" s="787"/>
      <c r="V495" s="787"/>
      <c r="W495" s="787"/>
      <c r="X495" s="446" t="s">
        <v>21</v>
      </c>
      <c r="Y495" s="712">
        <f>P113</f>
        <v>0.7</v>
      </c>
      <c r="Z495" s="712"/>
      <c r="AA495" s="712"/>
      <c r="AB495" s="483">
        <v>2</v>
      </c>
      <c r="AC495" s="437"/>
      <c r="AD495" s="437"/>
      <c r="AE495" s="431"/>
      <c r="AF495" s="431"/>
      <c r="AG495" s="812"/>
      <c r="AH495" s="812"/>
      <c r="AI495" s="812"/>
      <c r="AJ495" s="812"/>
      <c r="AK495" s="812"/>
      <c r="AL495" s="812"/>
      <c r="AM495" s="812"/>
      <c r="AN495" s="812"/>
      <c r="AO495" s="812"/>
      <c r="AT495" s="390" t="s">
        <v>425</v>
      </c>
      <c r="AU495" s="415"/>
      <c r="AV495" s="325" t="s">
        <v>0</v>
      </c>
      <c r="AW495" s="692">
        <f>AU461</f>
        <v>1.4129828560625861</v>
      </c>
      <c r="AX495" s="692"/>
      <c r="AY495" s="692"/>
      <c r="AZ495" s="325"/>
      <c r="BA495" s="325"/>
      <c r="BB495" s="325"/>
      <c r="BC495" s="431"/>
      <c r="BD495" s="431"/>
      <c r="BE495" s="431"/>
      <c r="BF495" s="124"/>
      <c r="BG495" s="390" t="s">
        <v>425</v>
      </c>
      <c r="BH495" s="415"/>
      <c r="BI495" s="325" t="s">
        <v>0</v>
      </c>
      <c r="BJ495" s="692">
        <f>BH461</f>
        <v>1.4192535785964104</v>
      </c>
      <c r="BK495" s="692"/>
      <c r="BL495" s="692"/>
      <c r="BM495" s="325"/>
      <c r="BN495" s="325"/>
      <c r="BO495" s="325"/>
      <c r="BP495" s="431"/>
      <c r="BQ495" s="431"/>
    </row>
    <row r="496" spans="1:79" s="424" customFormat="1" ht="15" customHeight="1" x14ac:dyDescent="0.35">
      <c r="A496" s="431"/>
      <c r="B496" s="431"/>
      <c r="C496" s="415"/>
      <c r="D496" s="40"/>
      <c r="E496" s="154"/>
      <c r="F496" s="154"/>
      <c r="G496" s="154"/>
      <c r="H496" s="154"/>
      <c r="I496" s="154"/>
      <c r="J496" s="154"/>
      <c r="K496" s="154"/>
      <c r="L496" s="431"/>
      <c r="M496" s="431"/>
      <c r="N496" s="431"/>
      <c r="O496" s="431"/>
      <c r="P496" s="431"/>
      <c r="Q496" s="441"/>
      <c r="R496" s="441"/>
      <c r="Y496" s="695">
        <v>2</v>
      </c>
      <c r="Z496" s="695"/>
      <c r="AA496" s="695"/>
      <c r="AB496" s="437"/>
      <c r="AC496" s="437"/>
      <c r="AD496" s="437"/>
      <c r="AE496" s="431"/>
      <c r="AF496" s="431"/>
      <c r="AG496" s="431"/>
      <c r="AH496" s="436"/>
      <c r="AI496" s="436"/>
      <c r="AJ496" s="436"/>
      <c r="AK496" s="436"/>
      <c r="AL496" s="436"/>
      <c r="AM496" s="431"/>
      <c r="AT496" s="390" t="s">
        <v>404</v>
      </c>
      <c r="AU496" s="406"/>
      <c r="AV496" s="154" t="s">
        <v>0</v>
      </c>
      <c r="AW496" s="692">
        <f>AW493*Y499/Z500</f>
        <v>26.556364825096871</v>
      </c>
      <c r="AX496" s="704"/>
      <c r="AY496" s="704"/>
      <c r="AZ496" s="325"/>
      <c r="BA496" s="325"/>
      <c r="BB496" s="405"/>
      <c r="BC496" s="405"/>
      <c r="BD496" s="325"/>
      <c r="BE496" s="325"/>
      <c r="BF496" s="407"/>
      <c r="BG496" s="390" t="s">
        <v>404</v>
      </c>
      <c r="BH496" s="406"/>
      <c r="BI496" s="154" t="s">
        <v>0</v>
      </c>
      <c r="BJ496" s="692">
        <f>BJ493*Y499/Z500</f>
        <v>26.556364825096871</v>
      </c>
      <c r="BK496" s="704"/>
      <c r="BL496" s="704"/>
      <c r="BM496" s="325"/>
      <c r="BN496" s="325"/>
      <c r="BO496" s="405"/>
      <c r="BP496" s="405"/>
      <c r="BQ496" s="325"/>
    </row>
    <row r="497" spans="1:69" s="477" customFormat="1" ht="15" customHeight="1" x14ac:dyDescent="0.35">
      <c r="A497" s="479"/>
      <c r="B497" s="479"/>
      <c r="C497" s="415"/>
      <c r="D497" s="40"/>
      <c r="E497" s="154"/>
      <c r="F497" s="154"/>
      <c r="G497" s="154"/>
      <c r="H497" s="154"/>
      <c r="I497" s="154"/>
      <c r="J497" s="154"/>
      <c r="K497" s="154"/>
      <c r="L497" s="479"/>
      <c r="M497" s="479"/>
      <c r="N497" s="479"/>
      <c r="O497" s="479"/>
      <c r="P497" s="479"/>
      <c r="Q497" s="482"/>
      <c r="R497" s="482"/>
      <c r="S497" s="431" t="s">
        <v>0</v>
      </c>
      <c r="T497" s="787">
        <f>(T495*(Y495^2))/Y496</f>
        <v>23.790616583373655</v>
      </c>
      <c r="U497" s="787"/>
      <c r="V497" s="787"/>
      <c r="W497" s="787"/>
      <c r="X497" s="443" t="s">
        <v>11</v>
      </c>
      <c r="Y497" s="439"/>
      <c r="Z497" s="439"/>
      <c r="AA497" s="479"/>
      <c r="AB497" s="481"/>
      <c r="AC497" s="481"/>
      <c r="AD497" s="481"/>
      <c r="AE497" s="479"/>
      <c r="AF497" s="479"/>
      <c r="AG497" s="479"/>
      <c r="AH497" s="480"/>
      <c r="AI497" s="480"/>
      <c r="AJ497" s="480"/>
      <c r="AK497" s="480"/>
      <c r="AL497" s="480"/>
      <c r="AM497" s="479"/>
      <c r="AT497" s="390"/>
      <c r="AU497" s="406"/>
      <c r="AV497" s="154"/>
      <c r="AW497" s="478"/>
      <c r="AX497" s="479"/>
      <c r="AY497" s="479"/>
      <c r="AZ497" s="325"/>
      <c r="BA497" s="325"/>
      <c r="BB497" s="405"/>
      <c r="BC497" s="405"/>
      <c r="BD497" s="325"/>
      <c r="BE497" s="325"/>
      <c r="BF497" s="407"/>
      <c r="BG497" s="390"/>
      <c r="BH497" s="406"/>
      <c r="BI497" s="154"/>
      <c r="BJ497" s="478"/>
      <c r="BK497" s="479"/>
      <c r="BL497" s="479"/>
      <c r="BM497" s="325"/>
      <c r="BN497" s="325"/>
      <c r="BO497" s="405"/>
      <c r="BP497" s="405"/>
      <c r="BQ497" s="325"/>
    </row>
    <row r="498" spans="1:69" s="424" customFormat="1" ht="15" customHeight="1" x14ac:dyDescent="0.35">
      <c r="A498" s="431"/>
      <c r="B498" s="431"/>
      <c r="C498" s="415"/>
      <c r="D498" s="40"/>
      <c r="E498" s="154"/>
      <c r="F498" s="154"/>
      <c r="G498" s="154"/>
      <c r="H498" s="154"/>
      <c r="I498" s="154"/>
      <c r="J498" s="154"/>
      <c r="K498" s="154"/>
      <c r="L498" s="431"/>
      <c r="M498" s="431"/>
      <c r="N498" s="431"/>
      <c r="O498" s="431"/>
      <c r="P498" s="431"/>
      <c r="Q498" s="441"/>
      <c r="R498" s="441"/>
      <c r="S498" s="431"/>
      <c r="T498" s="441"/>
      <c r="U498" s="441"/>
      <c r="V498" s="441"/>
      <c r="W498" s="441"/>
      <c r="X498" s="443"/>
      <c r="Y498" s="439"/>
      <c r="Z498" s="439"/>
      <c r="AA498" s="431"/>
      <c r="AB498" s="437"/>
      <c r="AC498" s="437"/>
      <c r="AD498" s="437"/>
      <c r="AE498" s="431"/>
      <c r="AF498" s="431"/>
      <c r="AG498" s="431"/>
      <c r="AH498" s="436"/>
      <c r="AI498" s="436"/>
      <c r="AJ498" s="436"/>
      <c r="AK498" s="436"/>
      <c r="AL498" s="436"/>
      <c r="AM498" s="431"/>
      <c r="AT498" s="390" t="s">
        <v>405</v>
      </c>
      <c r="AU498" s="406"/>
      <c r="AV498" s="154" t="s">
        <v>0</v>
      </c>
      <c r="AW498" s="704">
        <f>(AW493*(Y495^2))/Y496</f>
        <v>18.589455377567809</v>
      </c>
      <c r="AX498" s="704"/>
      <c r="AY498" s="704"/>
      <c r="AZ498" s="325"/>
      <c r="BA498" s="325"/>
      <c r="BB498" s="405"/>
      <c r="BC498" s="405"/>
      <c r="BD498" s="325"/>
      <c r="BE498" s="325"/>
      <c r="BF498" s="407"/>
      <c r="BG498" s="390" t="s">
        <v>405</v>
      </c>
      <c r="BH498" s="406"/>
      <c r="BI498" s="154" t="s">
        <v>0</v>
      </c>
      <c r="BJ498" s="704">
        <f>(BJ493*(Y495^2))/Y496</f>
        <v>18.589455377567809</v>
      </c>
      <c r="BK498" s="704"/>
      <c r="BL498" s="704"/>
      <c r="BM498" s="325"/>
      <c r="BN498" s="325"/>
      <c r="BO498" s="405"/>
      <c r="BP498" s="405"/>
      <c r="BQ498" s="325"/>
    </row>
    <row r="499" spans="1:69" s="424" customFormat="1" ht="15" customHeight="1" x14ac:dyDescent="0.35">
      <c r="A499" s="431"/>
      <c r="B499" s="431"/>
      <c r="C499" s="158" t="s">
        <v>449</v>
      </c>
      <c r="D499" s="40"/>
      <c r="E499" s="154"/>
      <c r="F499" s="154"/>
      <c r="G499" s="154"/>
      <c r="H499" s="154"/>
      <c r="I499" s="154"/>
      <c r="J499" s="154"/>
      <c r="K499" s="154"/>
      <c r="L499" s="431"/>
      <c r="M499" s="431"/>
      <c r="N499" s="431"/>
      <c r="O499" s="431"/>
      <c r="S499" s="424" t="s">
        <v>0</v>
      </c>
      <c r="T499" s="686">
        <f>T493</f>
        <v>97.104557483157791</v>
      </c>
      <c r="U499" s="695"/>
      <c r="V499" s="695"/>
      <c r="W499" s="695"/>
      <c r="X499" s="446" t="s">
        <v>21</v>
      </c>
      <c r="Y499" s="708">
        <f>Y495</f>
        <v>0.7</v>
      </c>
      <c r="Z499" s="672"/>
      <c r="AA499" s="672"/>
      <c r="AB499" s="437"/>
      <c r="AC499" s="437"/>
      <c r="AD499" s="437"/>
      <c r="AE499" s="431"/>
      <c r="AF499" s="431"/>
      <c r="AG499" s="431"/>
      <c r="AH499" s="436"/>
      <c r="AI499" s="436"/>
      <c r="AJ499" s="436"/>
      <c r="AK499" s="436"/>
      <c r="AL499" s="436"/>
      <c r="AM499" s="431"/>
    </row>
    <row r="500" spans="1:69" s="424" customFormat="1" ht="15" customHeight="1" x14ac:dyDescent="0.35">
      <c r="A500" s="431"/>
      <c r="B500" s="431"/>
      <c r="C500" s="40"/>
      <c r="D500" s="40"/>
      <c r="E500" s="154"/>
      <c r="F500" s="154"/>
      <c r="G500" s="154"/>
      <c r="H500" s="154"/>
      <c r="I500" s="154"/>
      <c r="J500" s="154"/>
      <c r="K500" s="154"/>
      <c r="L500" s="431"/>
      <c r="M500" s="431"/>
      <c r="N500" s="431"/>
      <c r="O500" s="431"/>
      <c r="P500" s="431"/>
      <c r="Q500" s="344"/>
      <c r="R500" s="344"/>
      <c r="S500" s="344"/>
      <c r="T500" s="444"/>
      <c r="U500" s="444"/>
      <c r="V500" s="444"/>
      <c r="W500" s="445"/>
      <c r="X500" s="445"/>
      <c r="Y500" s="444"/>
      <c r="Z500" s="445">
        <v>2</v>
      </c>
      <c r="AA500" s="445"/>
      <c r="AB500" s="445"/>
      <c r="AC500" s="445"/>
      <c r="AD500" s="437"/>
      <c r="AE500" s="431"/>
      <c r="AF500" s="431"/>
      <c r="AG500" s="431"/>
      <c r="AH500" s="436"/>
      <c r="AI500" s="436"/>
      <c r="AJ500" s="436"/>
      <c r="AK500" s="436"/>
      <c r="AL500" s="436"/>
      <c r="AM500" s="431"/>
    </row>
    <row r="501" spans="1:69" s="424" customFormat="1" ht="15" customHeight="1" x14ac:dyDescent="0.35">
      <c r="A501" s="431"/>
      <c r="B501" s="431"/>
      <c r="C501" s="40"/>
      <c r="D501" s="40"/>
      <c r="E501" s="154"/>
      <c r="F501" s="154"/>
      <c r="G501" s="154"/>
      <c r="H501" s="154"/>
      <c r="I501" s="154"/>
      <c r="J501" s="154"/>
      <c r="K501" s="154"/>
      <c r="L501" s="431"/>
      <c r="M501" s="431"/>
      <c r="N501" s="431"/>
      <c r="O501" s="431"/>
      <c r="S501" s="424" t="s">
        <v>0</v>
      </c>
      <c r="T501" s="686">
        <f>T499*Y499/Z500</f>
        <v>33.986595119105225</v>
      </c>
      <c r="U501" s="686"/>
      <c r="V501" s="686"/>
      <c r="W501" s="686"/>
      <c r="X501" s="443" t="s">
        <v>12</v>
      </c>
      <c r="Y501" s="439"/>
      <c r="Z501" s="439"/>
      <c r="AA501" s="431"/>
      <c r="AB501" s="437"/>
      <c r="AC501" s="437"/>
      <c r="AD501" s="437"/>
      <c r="AE501" s="431"/>
      <c r="AF501" s="431"/>
      <c r="AG501" s="431"/>
      <c r="AH501" s="436"/>
      <c r="AI501" s="436"/>
      <c r="AJ501" s="436"/>
      <c r="AK501" s="436"/>
      <c r="AL501" s="436"/>
      <c r="AM501" s="431"/>
    </row>
    <row r="502" spans="1:69" s="424" customFormat="1" ht="15" customHeight="1" x14ac:dyDescent="0.35">
      <c r="A502" s="431"/>
      <c r="B502" s="431"/>
      <c r="C502" s="40"/>
      <c r="D502" s="40"/>
      <c r="E502" s="154"/>
      <c r="F502" s="154"/>
      <c r="G502" s="154"/>
      <c r="H502" s="154"/>
      <c r="I502" s="154"/>
      <c r="J502" s="154"/>
      <c r="K502" s="154"/>
      <c r="L502" s="431"/>
      <c r="M502" s="431"/>
      <c r="N502" s="431"/>
      <c r="O502" s="431"/>
      <c r="P502" s="431"/>
      <c r="Q502" s="438"/>
      <c r="R502" s="438"/>
      <c r="S502" s="438"/>
      <c r="T502" s="439"/>
      <c r="U502" s="439"/>
      <c r="V502" s="439"/>
      <c r="W502" s="439"/>
      <c r="X502" s="439"/>
      <c r="Y502" s="439"/>
      <c r="Z502" s="439"/>
      <c r="AA502" s="431"/>
      <c r="AB502" s="437"/>
      <c r="AC502" s="437"/>
      <c r="AD502" s="437"/>
      <c r="AE502" s="431"/>
      <c r="AF502" s="431"/>
      <c r="AG502" s="431"/>
      <c r="AH502" s="436"/>
      <c r="AI502" s="436"/>
      <c r="AJ502" s="436"/>
      <c r="AK502" s="436"/>
      <c r="AL502" s="436"/>
      <c r="AM502" s="431"/>
    </row>
    <row r="503" spans="1:69" s="502" customFormat="1" ht="15" customHeight="1" x14ac:dyDescent="0.35">
      <c r="A503" s="500"/>
      <c r="B503" s="500"/>
      <c r="C503" s="40"/>
      <c r="D503" s="40"/>
      <c r="E503" s="154"/>
      <c r="F503" s="154"/>
      <c r="G503" s="154"/>
      <c r="H503" s="154"/>
      <c r="I503" s="154"/>
      <c r="J503" s="154"/>
      <c r="K503" s="154"/>
      <c r="L503" s="500"/>
      <c r="M503" s="500"/>
      <c r="N503" s="500"/>
      <c r="O503" s="500"/>
      <c r="P503" s="500"/>
      <c r="Q503" s="505"/>
      <c r="R503" s="505"/>
      <c r="S503" s="505"/>
      <c r="T503" s="508"/>
      <c r="U503" s="508"/>
      <c r="V503" s="508"/>
      <c r="W503" s="508"/>
      <c r="X503" s="508"/>
      <c r="Y503" s="508"/>
      <c r="Z503" s="508"/>
      <c r="AA503" s="500"/>
      <c r="AB503" s="501"/>
      <c r="AC503" s="501"/>
      <c r="AD503" s="501"/>
      <c r="AE503" s="500"/>
      <c r="AF503" s="500"/>
      <c r="AG503" s="500"/>
      <c r="AH503" s="503"/>
      <c r="AI503" s="503"/>
      <c r="AJ503" s="503"/>
      <c r="AK503" s="503"/>
      <c r="AL503" s="503"/>
      <c r="AM503" s="500"/>
      <c r="BA503" s="695"/>
      <c r="BB503" s="695"/>
      <c r="BC503" s="695"/>
      <c r="BD503" s="695"/>
      <c r="BE503" s="695"/>
    </row>
    <row r="504" spans="1:69" s="528" customFormat="1" ht="15" customHeight="1" x14ac:dyDescent="0.35">
      <c r="A504" s="526"/>
      <c r="B504" s="526"/>
      <c r="C504" s="40"/>
      <c r="D504" s="40"/>
      <c r="E504" s="154"/>
      <c r="F504" s="154"/>
      <c r="G504" s="154"/>
      <c r="H504" s="154"/>
      <c r="I504" s="154"/>
      <c r="J504" s="154"/>
      <c r="K504" s="154"/>
      <c r="L504" s="526"/>
      <c r="M504" s="526"/>
      <c r="N504" s="526"/>
      <c r="O504" s="526"/>
      <c r="P504" s="526"/>
      <c r="Q504" s="532"/>
      <c r="R504" s="532"/>
      <c r="S504" s="532"/>
      <c r="T504" s="535"/>
      <c r="U504" s="535"/>
      <c r="V504" s="535"/>
      <c r="W504" s="535"/>
      <c r="X504" s="535"/>
      <c r="Y504" s="535"/>
      <c r="Z504" s="535"/>
      <c r="AA504" s="526"/>
      <c r="AB504" s="527"/>
      <c r="AC504" s="527"/>
      <c r="AD504" s="527"/>
      <c r="AE504" s="526"/>
      <c r="AF504" s="526"/>
      <c r="AG504" s="526"/>
      <c r="AH504" s="530"/>
      <c r="AI504" s="530"/>
      <c r="AJ504" s="530"/>
      <c r="AK504" s="530"/>
      <c r="AL504" s="530"/>
      <c r="AM504" s="526"/>
    </row>
    <row r="505" spans="1:69" s="528" customFormat="1" ht="15" customHeight="1" x14ac:dyDescent="0.35">
      <c r="A505" s="526"/>
      <c r="B505" s="526"/>
      <c r="C505" s="40"/>
      <c r="D505" s="40"/>
      <c r="E505" s="154"/>
      <c r="F505" s="154"/>
      <c r="G505" s="154"/>
      <c r="H505" s="154"/>
      <c r="I505" s="154"/>
      <c r="J505" s="154"/>
      <c r="K505" s="154"/>
      <c r="L505" s="526"/>
      <c r="M505" s="526"/>
      <c r="N505" s="526"/>
      <c r="O505" s="526"/>
      <c r="P505" s="526"/>
      <c r="Q505" s="532"/>
      <c r="R505" s="532"/>
      <c r="S505" s="532"/>
      <c r="T505" s="535"/>
      <c r="U505" s="535"/>
      <c r="V505" s="535"/>
      <c r="W505" s="535"/>
      <c r="X505" s="535"/>
      <c r="Y505" s="535"/>
      <c r="Z505" s="535"/>
      <c r="AA505" s="526"/>
      <c r="AB505" s="527"/>
      <c r="AC505" s="527"/>
      <c r="AD505" s="527"/>
      <c r="AE505" s="526"/>
      <c r="AF505" s="526"/>
      <c r="AG505" s="526"/>
      <c r="AH505" s="530"/>
      <c r="AI505" s="530"/>
      <c r="AJ505" s="530"/>
      <c r="AK505" s="530"/>
      <c r="AL505" s="530"/>
      <c r="AM505" s="526"/>
    </row>
    <row r="506" spans="1:69" s="550" customFormat="1" ht="15" customHeight="1" x14ac:dyDescent="0.35">
      <c r="A506" s="551"/>
      <c r="B506" s="551"/>
      <c r="C506" s="40"/>
      <c r="D506" s="40"/>
      <c r="E506" s="154"/>
      <c r="F506" s="154"/>
      <c r="G506" s="154"/>
      <c r="H506" s="154"/>
      <c r="I506" s="154"/>
      <c r="J506" s="154"/>
      <c r="K506" s="154"/>
      <c r="L506" s="551"/>
      <c r="M506" s="551"/>
      <c r="N506" s="551"/>
      <c r="O506" s="551"/>
      <c r="P506" s="551"/>
      <c r="Q506" s="552"/>
      <c r="R506" s="552"/>
      <c r="S506" s="552"/>
      <c r="T506" s="553"/>
      <c r="U506" s="553"/>
      <c r="V506" s="553"/>
      <c r="W506" s="553"/>
      <c r="X506" s="553"/>
      <c r="Y506" s="553"/>
      <c r="Z506" s="553"/>
      <c r="AA506" s="551"/>
      <c r="AB506" s="549"/>
      <c r="AC506" s="549"/>
      <c r="AD506" s="549"/>
      <c r="AE506" s="551"/>
      <c r="AF506" s="551"/>
      <c r="AG506" s="551"/>
      <c r="AH506" s="554"/>
      <c r="AI506" s="554"/>
      <c r="AJ506" s="554"/>
      <c r="AK506" s="554"/>
      <c r="AL506" s="554"/>
      <c r="AM506" s="551"/>
    </row>
    <row r="507" spans="1:69" s="550" customFormat="1" ht="15" customHeight="1" x14ac:dyDescent="0.35">
      <c r="A507" s="551"/>
      <c r="B507" s="551"/>
      <c r="C507" s="40"/>
      <c r="D507" s="40"/>
      <c r="E507" s="154"/>
      <c r="F507" s="154"/>
      <c r="G507" s="154"/>
      <c r="H507" s="154"/>
      <c r="I507" s="154"/>
      <c r="J507" s="154"/>
      <c r="K507" s="154"/>
      <c r="L507" s="551"/>
      <c r="M507" s="551"/>
      <c r="N507" s="551"/>
      <c r="O507" s="551"/>
      <c r="P507" s="551"/>
      <c r="Q507" s="552"/>
      <c r="R507" s="552"/>
      <c r="S507" s="552"/>
      <c r="T507" s="553"/>
      <c r="U507" s="553"/>
      <c r="V507" s="553"/>
      <c r="W507" s="553"/>
      <c r="X507" s="553"/>
      <c r="Y507" s="553"/>
      <c r="Z507" s="553"/>
      <c r="AA507" s="551"/>
      <c r="AB507" s="549"/>
      <c r="AC507" s="549"/>
      <c r="AD507" s="549"/>
      <c r="AE507" s="551"/>
      <c r="AF507" s="551"/>
      <c r="AG507" s="551"/>
      <c r="AH507" s="554"/>
      <c r="AI507" s="554"/>
      <c r="AJ507" s="554"/>
      <c r="AK507" s="554"/>
      <c r="AL507" s="554"/>
      <c r="AM507" s="551"/>
    </row>
    <row r="508" spans="1:69" s="550" customFormat="1" ht="15" customHeight="1" x14ac:dyDescent="0.35">
      <c r="A508" s="551"/>
      <c r="B508" s="551"/>
      <c r="C508" s="40"/>
      <c r="D508" s="40"/>
      <c r="E508" s="154"/>
      <c r="F508" s="154"/>
      <c r="G508" s="154"/>
      <c r="H508" s="154"/>
      <c r="I508" s="154"/>
      <c r="J508" s="154"/>
      <c r="K508" s="154"/>
      <c r="L508" s="551"/>
      <c r="M508" s="551"/>
      <c r="N508" s="551"/>
      <c r="O508" s="551"/>
      <c r="P508" s="551"/>
      <c r="Q508" s="552"/>
      <c r="R508" s="552"/>
      <c r="S508" s="552"/>
      <c r="T508" s="553"/>
      <c r="U508" s="553"/>
      <c r="V508" s="553"/>
      <c r="W508" s="553"/>
      <c r="X508" s="553"/>
      <c r="Y508" s="553"/>
      <c r="Z508" s="553"/>
      <c r="AA508" s="551"/>
      <c r="AB508" s="549"/>
      <c r="AC508" s="549"/>
      <c r="AD508" s="549"/>
      <c r="AE508" s="551"/>
      <c r="AF508" s="551"/>
      <c r="AG508" s="551"/>
      <c r="AH508" s="554"/>
      <c r="AI508" s="554"/>
      <c r="AJ508" s="554"/>
      <c r="AK508" s="554"/>
      <c r="AL508" s="554"/>
      <c r="AM508" s="551"/>
    </row>
    <row r="509" spans="1:69" s="528" customFormat="1" ht="15" customHeight="1" x14ac:dyDescent="0.35">
      <c r="A509" s="526"/>
      <c r="B509" s="526"/>
      <c r="C509" s="40"/>
      <c r="D509" s="40"/>
      <c r="E509" s="154"/>
      <c r="F509" s="154"/>
      <c r="G509" s="154"/>
      <c r="H509" s="154"/>
      <c r="I509" s="154"/>
      <c r="J509" s="154"/>
      <c r="K509" s="154"/>
      <c r="L509" s="526"/>
      <c r="M509" s="526"/>
      <c r="N509" s="526"/>
      <c r="O509" s="526"/>
      <c r="P509" s="526"/>
      <c r="Q509" s="532"/>
      <c r="R509" s="532"/>
      <c r="S509" s="532"/>
      <c r="T509" s="535"/>
      <c r="U509" s="535"/>
      <c r="V509" s="535"/>
      <c r="W509" s="535"/>
      <c r="X509" s="535"/>
      <c r="Y509" s="535"/>
      <c r="Z509" s="535"/>
      <c r="AA509" s="526"/>
      <c r="AB509" s="527"/>
      <c r="AC509" s="527"/>
      <c r="AD509" s="527"/>
      <c r="AE509" s="526"/>
      <c r="AF509" s="526"/>
      <c r="AG509" s="526"/>
      <c r="AH509" s="530"/>
      <c r="AI509" s="530"/>
      <c r="AJ509" s="530"/>
      <c r="AK509" s="530"/>
      <c r="AL509" s="530"/>
      <c r="AM509" s="526"/>
    </row>
    <row r="510" spans="1:69" s="502" customFormat="1" ht="15" customHeight="1" x14ac:dyDescent="0.35">
      <c r="A510" s="500"/>
      <c r="B510" s="500"/>
      <c r="C510" s="40"/>
      <c r="D510" s="40"/>
      <c r="E510" s="154"/>
      <c r="F510" s="154"/>
      <c r="G510" s="154"/>
      <c r="H510" s="154"/>
      <c r="I510" s="154"/>
      <c r="J510" s="154"/>
      <c r="K510" s="154"/>
      <c r="L510" s="500"/>
      <c r="M510" s="500"/>
      <c r="N510" s="500"/>
      <c r="O510" s="500"/>
      <c r="P510" s="500"/>
      <c r="Q510" s="505"/>
      <c r="R510" s="505"/>
      <c r="S510" s="505"/>
      <c r="T510" s="508"/>
      <c r="U510" s="508"/>
      <c r="V510" s="508"/>
      <c r="W510" s="508"/>
      <c r="X510" s="508"/>
      <c r="Y510" s="508"/>
      <c r="Z510" s="508"/>
      <c r="AA510" s="500"/>
      <c r="AB510" s="501"/>
      <c r="AC510" s="501"/>
      <c r="AD510" s="501"/>
      <c r="AE510" s="500"/>
      <c r="AF510" s="500"/>
      <c r="AG510" s="500"/>
      <c r="AH510" s="503"/>
      <c r="AI510" s="503"/>
      <c r="AJ510" s="503"/>
      <c r="AK510" s="503"/>
      <c r="AL510" s="503"/>
      <c r="AM510" s="500"/>
    </row>
    <row r="511" spans="1:69" s="502" customFormat="1" ht="15" customHeight="1" x14ac:dyDescent="0.35">
      <c r="A511" s="500"/>
      <c r="B511" s="500"/>
      <c r="C511" s="40"/>
      <c r="D511" s="40"/>
      <c r="E511" s="154"/>
      <c r="F511" s="154"/>
      <c r="G511" s="154"/>
      <c r="H511" s="154"/>
      <c r="I511" s="154"/>
      <c r="J511" s="154"/>
      <c r="K511" s="154"/>
      <c r="L511" s="500"/>
      <c r="M511" s="500"/>
      <c r="N511" s="500"/>
      <c r="O511" s="500"/>
      <c r="P511" s="500"/>
      <c r="Q511" s="505"/>
      <c r="R511" s="505"/>
      <c r="S511" s="505"/>
      <c r="T511" s="508"/>
      <c r="U511" s="508"/>
      <c r="V511" s="508"/>
      <c r="W511" s="508"/>
      <c r="X511" s="508"/>
      <c r="Y511" s="508"/>
      <c r="Z511" s="508"/>
      <c r="AA511" s="500"/>
      <c r="AB511" s="501"/>
      <c r="AC511" s="501"/>
      <c r="AD511" s="501"/>
      <c r="AE511" s="500"/>
      <c r="AF511" s="500"/>
      <c r="AG511" s="500"/>
      <c r="AH511" s="503"/>
      <c r="AI511" s="503"/>
      <c r="AJ511" s="503"/>
      <c r="AK511" s="503"/>
      <c r="AL511" s="503"/>
      <c r="AM511" s="500"/>
    </row>
    <row r="512" spans="1:69" s="502" customFormat="1" ht="4.5" customHeight="1" x14ac:dyDescent="0.35">
      <c r="A512" s="500"/>
      <c r="B512" s="500"/>
      <c r="C512" s="40"/>
      <c r="D512" s="40"/>
      <c r="E512" s="154"/>
      <c r="F512" s="154"/>
      <c r="G512" s="154"/>
      <c r="H512" s="154"/>
      <c r="I512" s="154"/>
      <c r="J512" s="154"/>
      <c r="K512" s="154"/>
      <c r="L512" s="500"/>
      <c r="M512" s="500"/>
      <c r="N512" s="500"/>
      <c r="O512" s="500"/>
      <c r="P512" s="500"/>
      <c r="Q512" s="505"/>
      <c r="R512" s="505"/>
      <c r="S512" s="505"/>
      <c r="T512" s="508"/>
      <c r="U512" s="508"/>
      <c r="V512" s="508"/>
      <c r="W512" s="508"/>
      <c r="X512" s="508"/>
      <c r="Y512" s="508"/>
      <c r="Z512" s="508"/>
      <c r="AA512" s="500"/>
      <c r="AB512" s="501"/>
      <c r="AC512" s="501"/>
      <c r="AD512" s="501"/>
      <c r="AE512" s="500"/>
      <c r="AF512" s="500"/>
      <c r="AG512" s="500"/>
      <c r="AH512" s="503"/>
      <c r="AI512" s="503"/>
      <c r="AJ512" s="503"/>
      <c r="AK512" s="503"/>
      <c r="AL512" s="503"/>
      <c r="AM512" s="500"/>
    </row>
    <row r="513" spans="1:57" s="424" customFormat="1" ht="15" customHeight="1" x14ac:dyDescent="0.35">
      <c r="A513" s="431"/>
      <c r="B513" s="431"/>
      <c r="C513" s="342" t="s">
        <v>544</v>
      </c>
      <c r="F513" s="37"/>
    </row>
    <row r="514" spans="1:57" s="424" customFormat="1" ht="15" customHeight="1" x14ac:dyDescent="0.35">
      <c r="A514" s="431"/>
      <c r="B514" s="431"/>
      <c r="C514" s="785" t="s">
        <v>38</v>
      </c>
      <c r="D514" s="785"/>
      <c r="E514" s="721" t="s">
        <v>200</v>
      </c>
      <c r="F514" s="722"/>
      <c r="G514" s="722"/>
      <c r="H514" s="722"/>
      <c r="I514" s="722"/>
      <c r="J514" s="722"/>
      <c r="K514" s="722"/>
      <c r="L514" s="722"/>
      <c r="M514" s="722"/>
      <c r="N514" s="722"/>
      <c r="O514" s="722"/>
      <c r="P514" s="722"/>
      <c r="Q514" s="722"/>
      <c r="R514" s="722"/>
      <c r="S514" s="722"/>
      <c r="T514" s="722"/>
      <c r="U514" s="722"/>
      <c r="V514" s="722"/>
      <c r="W514" s="722"/>
      <c r="X514" s="722"/>
      <c r="Y514" s="722"/>
      <c r="Z514" s="722"/>
      <c r="AA514" s="722"/>
      <c r="AB514" s="722"/>
      <c r="AC514" s="722"/>
      <c r="AD514" s="722"/>
      <c r="AE514" s="722"/>
      <c r="AF514" s="722"/>
      <c r="AG514" s="722"/>
      <c r="AH514" s="722"/>
      <c r="AI514" s="722"/>
      <c r="AJ514" s="722"/>
      <c r="AK514" s="722"/>
      <c r="AL514" s="723"/>
      <c r="AU514" s="695">
        <f>IF(U170=415,(0.48*AB519),(0.46*AB519))</f>
        <v>215.74</v>
      </c>
      <c r="AV514" s="695"/>
      <c r="AW514" s="695"/>
      <c r="AX514" s="695"/>
      <c r="AY514" s="695"/>
    </row>
    <row r="515" spans="1:57" s="424" customFormat="1" ht="14.25" customHeight="1" x14ac:dyDescent="0.35">
      <c r="A515" s="431"/>
      <c r="B515" s="431"/>
      <c r="C515" s="785"/>
      <c r="D515" s="785"/>
      <c r="E515" s="724"/>
      <c r="F515" s="725"/>
      <c r="G515" s="725"/>
      <c r="H515" s="725"/>
      <c r="I515" s="725"/>
      <c r="J515" s="725"/>
      <c r="K515" s="725"/>
      <c r="L515" s="725"/>
      <c r="M515" s="725"/>
      <c r="N515" s="725"/>
      <c r="O515" s="725"/>
      <c r="P515" s="725"/>
      <c r="Q515" s="725"/>
      <c r="R515" s="725"/>
      <c r="S515" s="725"/>
      <c r="T515" s="725"/>
      <c r="U515" s="725"/>
      <c r="V515" s="725"/>
      <c r="W515" s="725"/>
      <c r="X515" s="725"/>
      <c r="Y515" s="725"/>
      <c r="Z515" s="725"/>
      <c r="AA515" s="725"/>
      <c r="AB515" s="725"/>
      <c r="AC515" s="725"/>
      <c r="AD515" s="725"/>
      <c r="AE515" s="725"/>
      <c r="AF515" s="725"/>
      <c r="AG515" s="725"/>
      <c r="AH515" s="725"/>
      <c r="AI515" s="725"/>
      <c r="AJ515" s="725"/>
      <c r="AK515" s="725"/>
      <c r="AL515" s="726"/>
      <c r="AU515" s="695">
        <f>(0.36*U169*((IF(U170=415,(0.48*AB519),(0.46*AB519))))*(1-(0.416*(IF(U170=415,(0.48*AB519),(0.46*AB519)))))*1000*((R334*1000)^2))/1000000</f>
        <v>0</v>
      </c>
      <c r="AV515" s="695"/>
      <c r="AW515" s="695"/>
      <c r="AX515" s="695"/>
      <c r="AY515" s="695"/>
      <c r="AZ515" s="695"/>
      <c r="BA515" s="695"/>
      <c r="BB515" s="695"/>
      <c r="BC515" s="695"/>
      <c r="BD515" s="695"/>
      <c r="BE515" s="695"/>
    </row>
    <row r="516" spans="1:57" s="424" customFormat="1" ht="15" customHeight="1" x14ac:dyDescent="0.3">
      <c r="A516" s="431"/>
      <c r="B516" s="431"/>
      <c r="C516" s="768">
        <v>1</v>
      </c>
      <c r="D516" s="769"/>
      <c r="E516" s="166" t="s">
        <v>193</v>
      </c>
      <c r="F516" s="166"/>
      <c r="G516" s="166"/>
      <c r="H516" s="166"/>
      <c r="I516" s="166"/>
      <c r="J516" s="435"/>
      <c r="K516" s="435"/>
      <c r="L516" s="435"/>
      <c r="M516" s="166"/>
      <c r="N516" s="426"/>
      <c r="O516" s="426"/>
      <c r="P516" s="426"/>
      <c r="Q516" s="426"/>
      <c r="R516" s="426"/>
      <c r="S516" s="426"/>
      <c r="T516" s="426"/>
      <c r="U516" s="426"/>
      <c r="V516" s="426"/>
      <c r="W516" s="426"/>
      <c r="X516" s="426"/>
      <c r="Y516" s="426"/>
      <c r="Z516" s="426"/>
      <c r="AA516" s="427"/>
      <c r="AB516" s="773">
        <f>(0.36*U43*1000*U65*AB519*(AB519-0.416*U65*AB519))/10^6</f>
        <v>907.7965125253005</v>
      </c>
      <c r="AC516" s="774"/>
      <c r="AD516" s="774"/>
      <c r="AE516" s="670" t="s">
        <v>11</v>
      </c>
      <c r="AF516" s="670"/>
      <c r="AG516" s="670"/>
      <c r="AH516" s="794" t="str">
        <f>IF(AB516&gt;T497,"Safe","Hence Unsafe")</f>
        <v>Safe</v>
      </c>
      <c r="AI516" s="794"/>
      <c r="AJ516" s="794"/>
      <c r="AK516" s="794"/>
      <c r="AL516" s="795"/>
      <c r="AU516" s="695"/>
      <c r="AV516" s="695"/>
      <c r="AW516" s="695"/>
      <c r="AX516" s="695"/>
      <c r="AY516" s="695"/>
      <c r="AZ516" s="695"/>
      <c r="BA516" s="695"/>
      <c r="BB516" s="695"/>
      <c r="BC516" s="695"/>
      <c r="BD516" s="695"/>
      <c r="BE516" s="695"/>
    </row>
    <row r="517" spans="1:57" s="424" customFormat="1" ht="15" customHeight="1" x14ac:dyDescent="0.45">
      <c r="A517" s="431"/>
      <c r="B517" s="431"/>
      <c r="C517" s="770"/>
      <c r="D517" s="771"/>
      <c r="E517" s="94" t="s">
        <v>208</v>
      </c>
      <c r="F517" s="428"/>
      <c r="G517" s="428"/>
      <c r="H517" s="428"/>
      <c r="I517" s="428"/>
      <c r="J517" s="428"/>
      <c r="K517" s="428"/>
      <c r="L517" s="428"/>
      <c r="M517" s="428"/>
      <c r="N517" s="428"/>
      <c r="O517" s="428"/>
      <c r="P517" s="428"/>
      <c r="Q517" s="428"/>
      <c r="R517" s="428"/>
      <c r="S517" s="428"/>
      <c r="T517" s="428"/>
      <c r="U517" s="428"/>
      <c r="V517" s="428"/>
      <c r="W517" s="428"/>
      <c r="X517" s="428"/>
      <c r="Y517" s="428"/>
      <c r="Z517" s="428"/>
      <c r="AA517" s="429"/>
      <c r="AB517" s="732"/>
      <c r="AC517" s="733"/>
      <c r="AD517" s="733"/>
      <c r="AE517" s="672"/>
      <c r="AF517" s="672"/>
      <c r="AG517" s="672"/>
      <c r="AH517" s="700"/>
      <c r="AI517" s="700"/>
      <c r="AJ517" s="700"/>
      <c r="AK517" s="700"/>
      <c r="AL517" s="701"/>
      <c r="AS517" s="695">
        <f>(0.36*U67*1000*0.46*AB519*(AB519-0.416*U89*AB519))/10^6</f>
        <v>0</v>
      </c>
      <c r="AT517" s="695"/>
      <c r="AU517" s="695"/>
      <c r="AV517" s="695"/>
    </row>
    <row r="518" spans="1:57" s="424" customFormat="1" ht="15" customHeight="1" x14ac:dyDescent="0.35">
      <c r="A518" s="431"/>
      <c r="B518" s="431"/>
      <c r="C518" s="783">
        <v>2</v>
      </c>
      <c r="D518" s="784"/>
      <c r="E518" s="184" t="s">
        <v>194</v>
      </c>
      <c r="F518" s="184"/>
      <c r="G518" s="184"/>
      <c r="H518" s="184"/>
      <c r="I518" s="184"/>
      <c r="J518" s="184"/>
      <c r="K518" s="184"/>
      <c r="L518" s="184"/>
      <c r="M518" s="184"/>
      <c r="N518" s="184"/>
      <c r="O518" s="210" t="s">
        <v>209</v>
      </c>
      <c r="P518" s="425"/>
      <c r="Q518" s="184"/>
      <c r="R518" s="184"/>
      <c r="S518" s="144"/>
      <c r="T518" s="144"/>
      <c r="U518" s="425"/>
      <c r="V518" s="143"/>
      <c r="W518" s="144"/>
      <c r="X518" s="144"/>
      <c r="Y518" s="442"/>
      <c r="Z518" s="425"/>
      <c r="AA518" s="433"/>
      <c r="AB518" s="775">
        <f>((T497*10^6)/(0.15*U43*1000))^0.5</f>
        <v>79.650263164869543</v>
      </c>
      <c r="AC518" s="776"/>
      <c r="AD518" s="776"/>
      <c r="AE518" s="729" t="s">
        <v>2</v>
      </c>
      <c r="AF518" s="729"/>
      <c r="AG518" s="729"/>
      <c r="AH518" s="425"/>
      <c r="AI518" s="186"/>
      <c r="AJ518" s="186"/>
      <c r="AK518" s="186"/>
      <c r="AL518" s="187"/>
    </row>
    <row r="519" spans="1:57" s="424" customFormat="1" ht="15" customHeight="1" x14ac:dyDescent="0.3">
      <c r="A519" s="431"/>
      <c r="B519" s="431"/>
      <c r="C519" s="783">
        <v>3</v>
      </c>
      <c r="D519" s="784"/>
      <c r="E519" s="184" t="s">
        <v>195</v>
      </c>
      <c r="F519" s="425"/>
      <c r="G519" s="425"/>
      <c r="H519" s="425"/>
      <c r="I519" s="425"/>
      <c r="J519" s="425"/>
      <c r="K519" s="425"/>
      <c r="L519" s="425"/>
      <c r="M519" s="425"/>
      <c r="N519" s="425"/>
      <c r="O519" s="425"/>
      <c r="P519" s="425"/>
      <c r="Q519" s="425"/>
      <c r="R519" s="425"/>
      <c r="S519" s="425"/>
      <c r="T519" s="425"/>
      <c r="U519" s="425"/>
      <c r="V519" s="144"/>
      <c r="W519" s="144"/>
      <c r="X519" s="144"/>
      <c r="Y519" s="425"/>
      <c r="Z519" s="425"/>
      <c r="AA519" s="433"/>
      <c r="AB519" s="775">
        <f>(G110*1000)-F83-(M525/2)</f>
        <v>469</v>
      </c>
      <c r="AC519" s="776"/>
      <c r="AD519" s="776"/>
      <c r="AE519" s="729" t="s">
        <v>2</v>
      </c>
      <c r="AF519" s="729"/>
      <c r="AG519" s="729"/>
      <c r="AH519" s="906" t="str">
        <f>IF(AB519&gt;AB518,"Safe","Hence Unsafe")</f>
        <v>Safe</v>
      </c>
      <c r="AI519" s="906"/>
      <c r="AJ519" s="906"/>
      <c r="AK519" s="906"/>
      <c r="AL519" s="907"/>
    </row>
    <row r="520" spans="1:57" s="424" customFormat="1" ht="15" customHeight="1" x14ac:dyDescent="0.35">
      <c r="A520" s="431"/>
      <c r="B520" s="431"/>
      <c r="C520" s="768">
        <v>4</v>
      </c>
      <c r="D520" s="769"/>
      <c r="E520" s="188" t="s">
        <v>196</v>
      </c>
      <c r="F520" s="128"/>
      <c r="G520" s="128"/>
      <c r="H520" s="128"/>
      <c r="I520" s="128"/>
      <c r="J520" s="426"/>
      <c r="K520" s="426"/>
      <c r="L520" s="426"/>
      <c r="M520" s="426"/>
      <c r="N520" s="426"/>
      <c r="O520" s="128"/>
      <c r="P520" s="128"/>
      <c r="Q520" s="128"/>
      <c r="R520" s="128"/>
      <c r="S520" s="426"/>
      <c r="T520" s="426"/>
      <c r="U520" s="426"/>
      <c r="V520" s="189"/>
      <c r="W520" s="189"/>
      <c r="X520" s="189"/>
      <c r="Y520" s="189"/>
      <c r="Z520" s="189"/>
      <c r="AA520" s="427"/>
      <c r="AB520" s="773">
        <f>((0.5*U43)/U44)*(1-SQRT(1-((4.6*T497*10^6)/(U43*1000*AB519^2))))*1000*AB519</f>
        <v>117.25671834046668</v>
      </c>
      <c r="AC520" s="774"/>
      <c r="AD520" s="774"/>
      <c r="AE520" s="670" t="s">
        <v>199</v>
      </c>
      <c r="AF520" s="670"/>
      <c r="AG520" s="670"/>
      <c r="AH520" s="426"/>
      <c r="AI520" s="190"/>
      <c r="AJ520" s="190"/>
      <c r="AK520" s="426"/>
      <c r="AL520" s="427"/>
      <c r="BB520" s="86"/>
      <c r="BC520" s="86"/>
      <c r="BD520" s="86"/>
      <c r="BE520" s="86"/>
    </row>
    <row r="521" spans="1:57" s="424" customFormat="1" ht="15" customHeight="1" x14ac:dyDescent="0.35">
      <c r="A521" s="431"/>
      <c r="B521" s="431"/>
      <c r="C521" s="770"/>
      <c r="D521" s="771"/>
      <c r="E521" s="180"/>
      <c r="F521" s="123"/>
      <c r="G521" s="123"/>
      <c r="H521" s="123"/>
      <c r="I521" s="123"/>
      <c r="J521" s="428"/>
      <c r="K521" s="428"/>
      <c r="L521" s="428"/>
      <c r="M521" s="428"/>
      <c r="N521" s="428"/>
      <c r="O521" s="428"/>
      <c r="P521" s="428"/>
      <c r="Q521" s="428"/>
      <c r="R521" s="428"/>
      <c r="S521" s="428"/>
      <c r="T521" s="428"/>
      <c r="U521" s="428"/>
      <c r="V521" s="428"/>
      <c r="W521" s="428"/>
      <c r="X521" s="428"/>
      <c r="Y521" s="428"/>
      <c r="Z521" s="428"/>
      <c r="AA521" s="429"/>
      <c r="AB521" s="732"/>
      <c r="AC521" s="733"/>
      <c r="AD521" s="733"/>
      <c r="AE521" s="672"/>
      <c r="AF521" s="672"/>
      <c r="AG521" s="672"/>
      <c r="AH521" s="191"/>
      <c r="AI521" s="191"/>
      <c r="AJ521" s="191"/>
      <c r="AK521" s="428"/>
      <c r="AL521" s="429"/>
    </row>
    <row r="522" spans="1:57" s="424" customFormat="1" ht="15" customHeight="1" x14ac:dyDescent="0.35">
      <c r="A522" s="431"/>
      <c r="B522" s="431"/>
      <c r="C522" s="768">
        <v>5</v>
      </c>
      <c r="D522" s="769"/>
      <c r="E522" s="432" t="s">
        <v>197</v>
      </c>
      <c r="F522" s="426"/>
      <c r="G522" s="426"/>
      <c r="H522" s="426"/>
      <c r="I522" s="426"/>
      <c r="J522" s="426"/>
      <c r="K522" s="426"/>
      <c r="L522" s="426"/>
      <c r="M522" s="426"/>
      <c r="N522" s="426"/>
      <c r="O522" s="192"/>
      <c r="P522" s="192"/>
      <c r="Q522" s="192"/>
      <c r="R522" s="192"/>
      <c r="S522" s="192"/>
      <c r="T522" s="128"/>
      <c r="U522" s="128"/>
      <c r="V522" s="128"/>
      <c r="W522" s="426"/>
      <c r="X522" s="426"/>
      <c r="Y522" s="426"/>
      <c r="Z522" s="426"/>
      <c r="AA522" s="427"/>
      <c r="AB522" s="773">
        <f>MAX((0.26*(U54/U45)*1000*(AVERAGE(G110,AD111)*1000)),(0.0013*1000*(AVERAGE(G110,AD111)*1000)))</f>
        <v>617.50000000000011</v>
      </c>
      <c r="AC522" s="774"/>
      <c r="AD522" s="774"/>
      <c r="AE522" s="670" t="s">
        <v>199</v>
      </c>
      <c r="AF522" s="670"/>
      <c r="AG522" s="670"/>
      <c r="AH522" s="426"/>
      <c r="AI522" s="426"/>
      <c r="AJ522" s="426"/>
      <c r="AK522" s="426"/>
      <c r="AL522" s="427"/>
    </row>
    <row r="523" spans="1:57" s="424" customFormat="1" ht="15" customHeight="1" x14ac:dyDescent="0.35">
      <c r="A523" s="431"/>
      <c r="B523" s="431"/>
      <c r="C523" s="770"/>
      <c r="D523" s="771"/>
      <c r="E523" s="193" t="s">
        <v>198</v>
      </c>
      <c r="F523" s="428"/>
      <c r="G523" s="428"/>
      <c r="H523" s="428"/>
      <c r="I523" s="428"/>
      <c r="J523" s="428"/>
      <c r="K523" s="428"/>
      <c r="L523" s="428"/>
      <c r="M523" s="428"/>
      <c r="N523" s="428"/>
      <c r="O523" s="428"/>
      <c r="P523" s="428"/>
      <c r="Q523" s="428"/>
      <c r="R523" s="428"/>
      <c r="S523" s="428"/>
      <c r="T523" s="428"/>
      <c r="U523" s="428"/>
      <c r="V523" s="428"/>
      <c r="W523" s="428"/>
      <c r="X523" s="428"/>
      <c r="Y523" s="428"/>
      <c r="Z523" s="428"/>
      <c r="AA523" s="194"/>
      <c r="AB523" s="732"/>
      <c r="AC523" s="733"/>
      <c r="AD523" s="733"/>
      <c r="AE523" s="672"/>
      <c r="AF523" s="672"/>
      <c r="AG523" s="672"/>
      <c r="AH523" s="428"/>
      <c r="AI523" s="428"/>
      <c r="AJ523" s="428"/>
      <c r="AK523" s="428"/>
      <c r="AL523" s="429"/>
    </row>
    <row r="524" spans="1:57" s="424" customFormat="1" ht="15" customHeight="1" x14ac:dyDescent="0.35">
      <c r="A524" s="431"/>
      <c r="B524" s="431"/>
      <c r="C524" s="768">
        <v>6</v>
      </c>
      <c r="D524" s="769"/>
      <c r="E524" s="432" t="s">
        <v>448</v>
      </c>
      <c r="F524" s="426"/>
      <c r="G524" s="426"/>
      <c r="H524" s="426"/>
      <c r="I524" s="426"/>
      <c r="J524" s="426"/>
      <c r="K524" s="426"/>
      <c r="L524" s="426"/>
      <c r="M524" s="426"/>
      <c r="N524" s="426"/>
      <c r="O524" s="426"/>
      <c r="P524" s="426"/>
      <c r="Q524" s="426"/>
      <c r="R524" s="426"/>
      <c r="S524" s="426"/>
      <c r="T524" s="426"/>
      <c r="U524" s="426"/>
      <c r="V524" s="426"/>
      <c r="W524" s="426"/>
      <c r="X524" s="426"/>
      <c r="Y524" s="426"/>
      <c r="Z524" s="426"/>
      <c r="AA524" s="427"/>
      <c r="AB524" s="432" t="s">
        <v>475</v>
      </c>
      <c r="AC524" s="426"/>
      <c r="AD524" s="426"/>
      <c r="AE524" s="426"/>
      <c r="AF524" s="426"/>
      <c r="AG524" s="426"/>
      <c r="AH524" s="426"/>
      <c r="AI524" s="426"/>
      <c r="AJ524" s="426"/>
      <c r="AK524" s="426"/>
      <c r="AL524" s="427"/>
      <c r="AM524" s="431"/>
    </row>
    <row r="525" spans="1:57" s="424" customFormat="1" ht="15" customHeight="1" x14ac:dyDescent="0.35">
      <c r="A525" s="431"/>
      <c r="B525" s="431"/>
      <c r="C525" s="904"/>
      <c r="D525" s="905"/>
      <c r="E525" s="179" t="s">
        <v>202</v>
      </c>
      <c r="F525" s="154"/>
      <c r="G525" s="154"/>
      <c r="H525" s="154" t="s">
        <v>23</v>
      </c>
      <c r="I525" s="154"/>
      <c r="J525" s="154"/>
      <c r="K525" s="154"/>
      <c r="L525" s="431"/>
      <c r="M525" s="760">
        <v>12</v>
      </c>
      <c r="N525" s="760"/>
      <c r="O525" s="438" t="s">
        <v>201</v>
      </c>
      <c r="P525" s="789">
        <v>100</v>
      </c>
      <c r="Q525" s="789"/>
      <c r="R525" s="789"/>
      <c r="S525" s="789"/>
      <c r="T525" s="789"/>
      <c r="U525" s="789"/>
      <c r="V525" s="789"/>
      <c r="W525" s="154"/>
      <c r="X525" s="176"/>
      <c r="Y525" s="431"/>
      <c r="Z525" s="431"/>
      <c r="AA525" s="124"/>
      <c r="AB525" s="731">
        <f>IF(M526=0,((PI()/4*M525^2)*(1000/P525)),(((PI()/4*M525^2)*(1000/P525))+((PI()/4*M526^2)*(1000/P526))))</f>
        <v>1130.9733552923256</v>
      </c>
      <c r="AC525" s="693"/>
      <c r="AD525" s="693"/>
      <c r="AE525" s="704" t="s">
        <v>199</v>
      </c>
      <c r="AF525" s="704"/>
      <c r="AG525" s="704"/>
      <c r="AH525" s="698" t="str">
        <f>IF(AB525&gt;MAX(AB520:AD523),"Safe","Hence Unsafe")</f>
        <v>Safe</v>
      </c>
      <c r="AI525" s="698"/>
      <c r="AJ525" s="698"/>
      <c r="AK525" s="698"/>
      <c r="AL525" s="699"/>
      <c r="AM525" s="182"/>
      <c r="AS525" s="695">
        <f>((PI()/4*M525^2)*(1000/P525))</f>
        <v>1130.9733552923256</v>
      </c>
      <c r="AT525" s="695"/>
      <c r="AU525" s="695"/>
      <c r="AV525" s="695"/>
    </row>
    <row r="526" spans="1:57" s="424" customFormat="1" ht="15" customHeight="1" x14ac:dyDescent="0.35">
      <c r="A526" s="431"/>
      <c r="B526" s="431"/>
      <c r="C526" s="770"/>
      <c r="D526" s="771"/>
      <c r="E526" s="180" t="s">
        <v>203</v>
      </c>
      <c r="F526" s="123"/>
      <c r="G526" s="123"/>
      <c r="H526" s="123" t="s">
        <v>23</v>
      </c>
      <c r="I526" s="123"/>
      <c r="J526" s="123"/>
      <c r="K526" s="123"/>
      <c r="L526" s="428"/>
      <c r="M526" s="762">
        <v>0</v>
      </c>
      <c r="N526" s="762"/>
      <c r="O526" s="430" t="s">
        <v>201</v>
      </c>
      <c r="P526" s="730">
        <v>0</v>
      </c>
      <c r="Q526" s="730"/>
      <c r="R526" s="730"/>
      <c r="S526" s="730"/>
      <c r="T526" s="730"/>
      <c r="U526" s="730"/>
      <c r="V526" s="730"/>
      <c r="W526" s="123"/>
      <c r="X526" s="123"/>
      <c r="Y526" s="428"/>
      <c r="Z526" s="428"/>
      <c r="AA526" s="429"/>
      <c r="AB526" s="732"/>
      <c r="AC526" s="733"/>
      <c r="AD526" s="733"/>
      <c r="AE526" s="672"/>
      <c r="AF526" s="672"/>
      <c r="AG526" s="672"/>
      <c r="AH526" s="700"/>
      <c r="AI526" s="700"/>
      <c r="AJ526" s="700"/>
      <c r="AK526" s="700"/>
      <c r="AL526" s="701"/>
      <c r="AM526" s="182"/>
      <c r="AS526" s="695" t="e">
        <f>((PI()/4*M526^2)*(1000/P526))</f>
        <v>#DIV/0!</v>
      </c>
      <c r="AT526" s="695"/>
      <c r="AU526" s="695"/>
      <c r="AV526" s="695"/>
    </row>
    <row r="527" spans="1:57" s="424" customFormat="1" ht="15" customHeight="1" x14ac:dyDescent="0.35">
      <c r="A527" s="431"/>
      <c r="B527" s="431"/>
      <c r="C527" s="768">
        <v>7</v>
      </c>
      <c r="D527" s="769"/>
      <c r="E527" s="748" t="s">
        <v>205</v>
      </c>
      <c r="F527" s="749"/>
      <c r="G527" s="749"/>
      <c r="H527" s="749"/>
      <c r="I527" s="749"/>
      <c r="J527" s="749"/>
      <c r="K527" s="749"/>
      <c r="L527" s="749"/>
      <c r="M527" s="749"/>
      <c r="N527" s="749"/>
      <c r="O527" s="749"/>
      <c r="P527" s="749"/>
      <c r="Q527" s="749"/>
      <c r="R527" s="749"/>
      <c r="S527" s="749"/>
      <c r="T527" s="749"/>
      <c r="U527" s="749"/>
      <c r="V527" s="749"/>
      <c r="W527" s="749"/>
      <c r="X527" s="749"/>
      <c r="Y527" s="749"/>
      <c r="Z527" s="749"/>
      <c r="AA527" s="750"/>
      <c r="AB527" s="432" t="s">
        <v>475</v>
      </c>
      <c r="AC527" s="426"/>
      <c r="AD527" s="426"/>
      <c r="AE527" s="426"/>
      <c r="AF527" s="426"/>
      <c r="AG527" s="426"/>
      <c r="AH527" s="426"/>
      <c r="AI527" s="426"/>
      <c r="AJ527" s="426"/>
      <c r="AK527" s="426"/>
      <c r="AL527" s="427"/>
      <c r="AM527" s="431"/>
    </row>
    <row r="528" spans="1:57" s="424" customFormat="1" ht="15" customHeight="1" x14ac:dyDescent="0.35">
      <c r="A528" s="431"/>
      <c r="B528" s="431"/>
      <c r="C528" s="770"/>
      <c r="D528" s="771"/>
      <c r="E528" s="180" t="s">
        <v>207</v>
      </c>
      <c r="F528" s="123"/>
      <c r="G528" s="123"/>
      <c r="H528" s="123"/>
      <c r="I528" s="123"/>
      <c r="J528" s="123"/>
      <c r="K528" s="123"/>
      <c r="L528" s="428"/>
      <c r="M528" s="428"/>
      <c r="N528" s="428"/>
      <c r="O528" s="428"/>
      <c r="P528" s="428" t="s">
        <v>0</v>
      </c>
      <c r="Q528" s="762">
        <v>8</v>
      </c>
      <c r="R528" s="762"/>
      <c r="S528" s="430" t="s">
        <v>201</v>
      </c>
      <c r="T528" s="730">
        <v>220</v>
      </c>
      <c r="U528" s="730"/>
      <c r="V528" s="730"/>
      <c r="W528" s="730"/>
      <c r="X528" s="730"/>
      <c r="Y528" s="730"/>
      <c r="Z528" s="730"/>
      <c r="AA528" s="429"/>
      <c r="AB528" s="732">
        <f>((PI()/4*Q528^2)*(1000/T528))</f>
        <v>228.47946571562133</v>
      </c>
      <c r="AC528" s="733"/>
      <c r="AD528" s="733"/>
      <c r="AE528" s="672" t="s">
        <v>199</v>
      </c>
      <c r="AF528" s="672"/>
      <c r="AG528" s="672"/>
      <c r="AH528" s="700" t="str">
        <f>IF(AB528&gt;(20%*AB525),"Safe","Hence Unsafe")</f>
        <v>Safe</v>
      </c>
      <c r="AI528" s="700"/>
      <c r="AJ528" s="700"/>
      <c r="AK528" s="700"/>
      <c r="AL528" s="701"/>
      <c r="AM528" s="431"/>
    </row>
    <row r="529" spans="1:47" s="424" customFormat="1" ht="5.25" customHeight="1" x14ac:dyDescent="0.35">
      <c r="A529" s="431"/>
      <c r="B529" s="431"/>
      <c r="C529" s="40"/>
      <c r="D529" s="40"/>
      <c r="E529" s="154"/>
      <c r="F529" s="154"/>
      <c r="G529" s="154"/>
      <c r="H529" s="154"/>
      <c r="I529" s="154"/>
      <c r="J529" s="154"/>
      <c r="K529" s="154"/>
      <c r="L529" s="431"/>
      <c r="M529" s="431"/>
      <c r="N529" s="431"/>
      <c r="O529" s="431"/>
      <c r="P529" s="431"/>
      <c r="Q529" s="438"/>
      <c r="R529" s="438"/>
      <c r="S529" s="438"/>
      <c r="T529" s="439"/>
      <c r="U529" s="439"/>
      <c r="V529" s="439"/>
      <c r="W529" s="439"/>
      <c r="X529" s="439"/>
      <c r="Y529" s="439"/>
      <c r="Z529" s="439"/>
      <c r="AA529" s="431"/>
      <c r="AB529" s="437"/>
      <c r="AC529" s="437"/>
      <c r="AD529" s="437"/>
      <c r="AE529" s="431"/>
      <c r="AF529" s="431"/>
      <c r="AG529" s="431"/>
      <c r="AH529" s="436"/>
      <c r="AI529" s="436"/>
      <c r="AJ529" s="436"/>
      <c r="AK529" s="436"/>
      <c r="AL529" s="436"/>
      <c r="AM529" s="431"/>
    </row>
    <row r="530" spans="1:47" s="196" customFormat="1" x14ac:dyDescent="0.35">
      <c r="A530" s="201"/>
      <c r="B530" s="201"/>
      <c r="C530" s="361" t="s">
        <v>393</v>
      </c>
      <c r="D530" s="424"/>
      <c r="E530" s="424"/>
      <c r="F530" s="424"/>
      <c r="G530" s="424"/>
      <c r="H530" s="431"/>
      <c r="I530" s="431"/>
      <c r="J530" s="431"/>
      <c r="K530" s="431"/>
      <c r="L530" s="431"/>
      <c r="M530" s="431"/>
      <c r="N530" s="424"/>
      <c r="O530" s="424"/>
      <c r="P530" s="424"/>
      <c r="Q530" s="424"/>
      <c r="R530" s="424"/>
      <c r="S530" s="424"/>
      <c r="T530" s="424"/>
      <c r="U530" s="424"/>
      <c r="V530" s="424"/>
      <c r="W530" s="424"/>
      <c r="X530" s="431"/>
      <c r="Y530" s="431"/>
      <c r="Z530" s="431"/>
      <c r="AA530" s="431"/>
      <c r="AB530" s="431"/>
      <c r="AC530" s="431"/>
      <c r="AD530" s="431"/>
      <c r="AE530" s="431"/>
      <c r="AF530" s="431"/>
      <c r="AG530" s="431"/>
      <c r="AH530" s="431"/>
      <c r="AI530" s="431"/>
      <c r="AJ530" s="431"/>
      <c r="AK530" s="431"/>
      <c r="AL530" s="431"/>
      <c r="AM530" s="201"/>
    </row>
    <row r="531" spans="1:47" s="196" customFormat="1" ht="3" customHeight="1" x14ac:dyDescent="0.3">
      <c r="A531" s="201"/>
      <c r="B531" s="201"/>
      <c r="C531" s="431"/>
      <c r="D531" s="424"/>
      <c r="E531" s="424"/>
      <c r="F531" s="424"/>
      <c r="G531" s="424"/>
      <c r="H531" s="431"/>
      <c r="I531" s="431"/>
      <c r="J531" s="431"/>
      <c r="K531" s="431"/>
      <c r="L531" s="431"/>
      <c r="M531" s="122"/>
      <c r="N531" s="122"/>
      <c r="O531" s="440"/>
      <c r="P531" s="177"/>
      <c r="Q531" s="177"/>
      <c r="R531" s="177"/>
      <c r="S531" s="80"/>
      <c r="T531" s="178"/>
      <c r="U531" s="178"/>
      <c r="V531" s="178"/>
      <c r="W531" s="176"/>
      <c r="X531" s="389"/>
      <c r="Y531" s="389"/>
      <c r="Z531" s="389"/>
      <c r="AA531" s="431"/>
      <c r="AB531" s="431"/>
      <c r="AC531" s="431"/>
      <c r="AD531" s="431"/>
      <c r="AE531" s="431"/>
      <c r="AF531" s="431"/>
      <c r="AG531" s="431"/>
      <c r="AH531" s="431"/>
      <c r="AI531" s="431"/>
      <c r="AJ531" s="431"/>
      <c r="AK531" s="431"/>
      <c r="AL531" s="431"/>
      <c r="AM531" s="201"/>
      <c r="AU531" s="361"/>
    </row>
    <row r="532" spans="1:47" s="328" customFormat="1" x14ac:dyDescent="0.3">
      <c r="A532" s="329"/>
      <c r="B532" s="329"/>
      <c r="C532" s="342" t="s">
        <v>463</v>
      </c>
      <c r="D532" s="424"/>
      <c r="E532" s="424"/>
      <c r="F532" s="424"/>
      <c r="G532" s="424"/>
      <c r="H532" s="431"/>
      <c r="I532" s="431"/>
      <c r="J532" s="431"/>
      <c r="K532" s="431"/>
      <c r="L532" s="431"/>
      <c r="M532" s="122"/>
      <c r="N532" s="122"/>
      <c r="O532" s="440"/>
      <c r="P532" s="177"/>
      <c r="Q532" s="177"/>
      <c r="R532" s="177"/>
      <c r="S532" s="80"/>
      <c r="T532" s="178"/>
      <c r="U532" s="178"/>
      <c r="V532" s="178"/>
      <c r="W532" s="176"/>
      <c r="X532" s="389"/>
      <c r="Y532" s="389"/>
      <c r="Z532" s="389"/>
      <c r="AA532" s="431"/>
      <c r="AB532" s="431"/>
      <c r="AC532" s="431"/>
      <c r="AD532" s="431"/>
      <c r="AE532" s="431"/>
      <c r="AF532" s="431"/>
      <c r="AG532" s="431"/>
      <c r="AH532" s="431"/>
      <c r="AI532" s="431"/>
      <c r="AJ532" s="431"/>
      <c r="AK532" s="431"/>
      <c r="AL532" s="431"/>
      <c r="AM532" s="329"/>
      <c r="AU532" s="361"/>
    </row>
    <row r="533" spans="1:47" s="196" customFormat="1" ht="15" customHeight="1" x14ac:dyDescent="0.35">
      <c r="A533" s="201"/>
      <c r="B533" s="201"/>
      <c r="C533" s="915" t="s">
        <v>38</v>
      </c>
      <c r="D533" s="916"/>
      <c r="E533" s="721" t="s">
        <v>200</v>
      </c>
      <c r="F533" s="722"/>
      <c r="G533" s="722"/>
      <c r="H533" s="722"/>
      <c r="I533" s="722"/>
      <c r="J533" s="722"/>
      <c r="K533" s="722"/>
      <c r="L533" s="722"/>
      <c r="M533" s="722"/>
      <c r="N533" s="722"/>
      <c r="O533" s="722"/>
      <c r="P533" s="722"/>
      <c r="Q533" s="722"/>
      <c r="R533" s="722"/>
      <c r="S533" s="722"/>
      <c r="T533" s="722"/>
      <c r="U533" s="722"/>
      <c r="V533" s="722"/>
      <c r="W533" s="722"/>
      <c r="X533" s="722"/>
      <c r="Y533" s="722"/>
      <c r="Z533" s="722"/>
      <c r="AA533" s="722"/>
      <c r="AB533" s="722"/>
      <c r="AC533" s="722"/>
      <c r="AD533" s="722"/>
      <c r="AE533" s="722"/>
      <c r="AF533" s="722"/>
      <c r="AG533" s="722"/>
      <c r="AH533" s="722"/>
      <c r="AI533" s="722"/>
      <c r="AJ533" s="722"/>
      <c r="AK533" s="722"/>
      <c r="AL533" s="723"/>
      <c r="AM533" s="201"/>
      <c r="AU533" s="342" t="s">
        <v>392</v>
      </c>
    </row>
    <row r="534" spans="1:47" s="196" customFormat="1" x14ac:dyDescent="0.35">
      <c r="A534" s="201"/>
      <c r="B534" s="201"/>
      <c r="C534" s="917"/>
      <c r="D534" s="918"/>
      <c r="E534" s="724"/>
      <c r="F534" s="725"/>
      <c r="G534" s="725"/>
      <c r="H534" s="725"/>
      <c r="I534" s="725"/>
      <c r="J534" s="725"/>
      <c r="K534" s="725"/>
      <c r="L534" s="725"/>
      <c r="M534" s="725"/>
      <c r="N534" s="725"/>
      <c r="O534" s="725"/>
      <c r="P534" s="725"/>
      <c r="Q534" s="725"/>
      <c r="R534" s="725"/>
      <c r="S534" s="725"/>
      <c r="T534" s="725"/>
      <c r="U534" s="725"/>
      <c r="V534" s="725"/>
      <c r="W534" s="725"/>
      <c r="X534" s="725"/>
      <c r="Y534" s="725"/>
      <c r="Z534" s="725"/>
      <c r="AA534" s="725"/>
      <c r="AB534" s="725"/>
      <c r="AC534" s="725"/>
      <c r="AD534" s="725"/>
      <c r="AE534" s="725"/>
      <c r="AF534" s="725"/>
      <c r="AG534" s="725"/>
      <c r="AH534" s="725"/>
      <c r="AI534" s="725"/>
      <c r="AJ534" s="725"/>
      <c r="AK534" s="725"/>
      <c r="AL534" s="726"/>
      <c r="AM534" s="201"/>
    </row>
    <row r="535" spans="1:47" s="305" customFormat="1" ht="14.5" x14ac:dyDescent="0.35">
      <c r="A535" s="299"/>
      <c r="B535" s="299"/>
      <c r="C535" s="768">
        <v>1</v>
      </c>
      <c r="D535" s="769"/>
      <c r="E535" s="216" t="s">
        <v>346</v>
      </c>
      <c r="F535" s="234"/>
      <c r="G535" s="234"/>
      <c r="H535" s="234"/>
      <c r="I535" s="234"/>
      <c r="J535" s="234"/>
      <c r="K535" s="234"/>
      <c r="L535" s="234"/>
      <c r="M535" s="234"/>
      <c r="N535" s="234"/>
      <c r="O535" s="234"/>
      <c r="P535" s="234"/>
      <c r="Q535" s="234"/>
      <c r="R535" s="234"/>
      <c r="S535" s="234"/>
      <c r="T535" s="234"/>
      <c r="U535" s="234"/>
      <c r="V535" s="234"/>
      <c r="W535" s="234"/>
      <c r="X535" s="234"/>
      <c r="Y535" s="234"/>
      <c r="Z535" s="234"/>
      <c r="AA535" s="235"/>
      <c r="AB535" s="739">
        <f>MAX(X468,T501)</f>
        <v>33.986595119105225</v>
      </c>
      <c r="AC535" s="720"/>
      <c r="AD535" s="720"/>
      <c r="AE535" s="720"/>
      <c r="AF535" s="720"/>
      <c r="AG535" s="720"/>
      <c r="AH535" s="720" t="s">
        <v>12</v>
      </c>
      <c r="AI535" s="720"/>
      <c r="AJ535" s="720"/>
      <c r="AK535" s="296"/>
      <c r="AL535" s="310"/>
      <c r="AM535" s="299"/>
    </row>
    <row r="536" spans="1:47" s="196" customFormat="1" ht="14.5" x14ac:dyDescent="0.35">
      <c r="A536" s="201"/>
      <c r="B536" s="201"/>
      <c r="C536" s="768">
        <v>2</v>
      </c>
      <c r="D536" s="769"/>
      <c r="E536" s="216" t="s">
        <v>211</v>
      </c>
      <c r="F536" s="234"/>
      <c r="G536" s="234"/>
      <c r="H536" s="234"/>
      <c r="I536" s="234"/>
      <c r="J536" s="234"/>
      <c r="K536" s="234"/>
      <c r="L536" s="234"/>
      <c r="M536" s="234"/>
      <c r="N536" s="234"/>
      <c r="O536" s="234"/>
      <c r="P536" s="234"/>
      <c r="Q536" s="234"/>
      <c r="R536" s="234"/>
      <c r="S536" s="234"/>
      <c r="T536" s="234"/>
      <c r="U536" s="234"/>
      <c r="V536" s="234"/>
      <c r="W536" s="234"/>
      <c r="X536" s="234"/>
      <c r="Y536" s="234"/>
      <c r="Z536" s="234"/>
      <c r="AA536" s="235"/>
      <c r="AB536" s="772">
        <v>1000</v>
      </c>
      <c r="AC536" s="720"/>
      <c r="AD536" s="720"/>
      <c r="AE536" s="720"/>
      <c r="AF536" s="720"/>
      <c r="AG536" s="720"/>
      <c r="AH536" s="720" t="s">
        <v>2</v>
      </c>
      <c r="AI536" s="720"/>
      <c r="AJ536" s="720"/>
      <c r="AK536" s="202"/>
      <c r="AL536" s="205"/>
      <c r="AM536" s="201"/>
    </row>
    <row r="537" spans="1:47" s="196" customFormat="1" ht="14.5" x14ac:dyDescent="0.35">
      <c r="A537" s="201"/>
      <c r="B537" s="201"/>
      <c r="C537" s="768">
        <v>3</v>
      </c>
      <c r="D537" s="769"/>
      <c r="E537" s="216" t="s">
        <v>450</v>
      </c>
      <c r="F537" s="234"/>
      <c r="G537" s="234"/>
      <c r="H537" s="234"/>
      <c r="I537" s="234"/>
      <c r="J537" s="234"/>
      <c r="K537" s="234"/>
      <c r="L537" s="234"/>
      <c r="M537" s="234"/>
      <c r="N537" s="234"/>
      <c r="O537" s="234"/>
      <c r="P537" s="234"/>
      <c r="Q537" s="234"/>
      <c r="R537" s="234"/>
      <c r="S537" s="234"/>
      <c r="T537" s="234"/>
      <c r="U537" s="234"/>
      <c r="V537" s="234"/>
      <c r="W537" s="234"/>
      <c r="X537" s="234"/>
      <c r="Y537" s="234"/>
      <c r="Z537" s="234"/>
      <c r="AA537" s="235"/>
      <c r="AB537" s="772">
        <f>((G110)*1000)</f>
        <v>550</v>
      </c>
      <c r="AC537" s="720"/>
      <c r="AD537" s="720"/>
      <c r="AE537" s="720"/>
      <c r="AF537" s="720"/>
      <c r="AG537" s="720"/>
      <c r="AH537" s="720" t="s">
        <v>2</v>
      </c>
      <c r="AI537" s="720"/>
      <c r="AJ537" s="720"/>
      <c r="AK537" s="202"/>
      <c r="AL537" s="205"/>
      <c r="AM537" s="201"/>
    </row>
    <row r="538" spans="1:47" s="196" customFormat="1" ht="14.5" x14ac:dyDescent="0.35">
      <c r="A538" s="201"/>
      <c r="B538" s="72"/>
      <c r="C538" s="768">
        <v>4</v>
      </c>
      <c r="D538" s="769"/>
      <c r="E538" s="236" t="s">
        <v>213</v>
      </c>
      <c r="F538" s="237"/>
      <c r="G538" s="237"/>
      <c r="H538" s="237"/>
      <c r="I538" s="237"/>
      <c r="J538" s="237"/>
      <c r="K538" s="237"/>
      <c r="L538" s="237"/>
      <c r="M538" s="237"/>
      <c r="N538" s="237"/>
      <c r="O538" s="234"/>
      <c r="P538" s="234"/>
      <c r="Q538" s="234"/>
      <c r="R538" s="234"/>
      <c r="S538" s="234"/>
      <c r="T538" s="234"/>
      <c r="U538" s="234"/>
      <c r="V538" s="234"/>
      <c r="W538" s="234"/>
      <c r="X538" s="234"/>
      <c r="Y538" s="234"/>
      <c r="Z538" s="234"/>
      <c r="AA538" s="235"/>
      <c r="AB538" s="805">
        <f>0.6*(1-(U43/310))</f>
        <v>0.55161290322580636</v>
      </c>
      <c r="AC538" s="689"/>
      <c r="AD538" s="689"/>
      <c r="AE538" s="689"/>
      <c r="AF538" s="689"/>
      <c r="AG538" s="689"/>
      <c r="AH538" s="720"/>
      <c r="AI538" s="720"/>
      <c r="AJ538" s="720"/>
      <c r="AK538" s="202"/>
      <c r="AL538" s="205"/>
    </row>
    <row r="539" spans="1:47" s="196" customFormat="1" ht="17" x14ac:dyDescent="0.3">
      <c r="A539" s="201"/>
      <c r="B539" s="72"/>
      <c r="C539" s="768">
        <v>5</v>
      </c>
      <c r="D539" s="769"/>
      <c r="E539" s="146" t="s">
        <v>239</v>
      </c>
      <c r="F539" s="144"/>
      <c r="G539" s="144"/>
      <c r="H539" s="144"/>
      <c r="I539" s="144"/>
      <c r="J539" s="144"/>
      <c r="K539" s="144"/>
      <c r="L539" s="144"/>
      <c r="M539" s="144"/>
      <c r="N539" s="144"/>
      <c r="O539" s="144"/>
      <c r="P539" s="144"/>
      <c r="Q539" s="144"/>
      <c r="R539" s="144"/>
      <c r="S539" s="144"/>
      <c r="T539" s="144"/>
      <c r="U539" s="144"/>
      <c r="V539" s="144"/>
      <c r="W539" s="144"/>
      <c r="X539" s="144"/>
      <c r="Y539" s="144"/>
      <c r="Z539" s="144"/>
      <c r="AA539" s="105"/>
      <c r="AB539" s="775">
        <f>(0.5*AB536*AB537*AB538*U53)/1000</f>
        <v>1693.9112903225803</v>
      </c>
      <c r="AC539" s="776"/>
      <c r="AD539" s="776"/>
      <c r="AE539" s="776"/>
      <c r="AF539" s="776"/>
      <c r="AG539" s="776"/>
      <c r="AH539" s="729" t="s">
        <v>12</v>
      </c>
      <c r="AI539" s="729"/>
      <c r="AJ539" s="729"/>
      <c r="AK539" s="202"/>
      <c r="AL539" s="241"/>
      <c r="AM539" s="705" t="str">
        <f>IF(AB535&lt;AB539,"Safe","Not Safe")</f>
        <v>Safe</v>
      </c>
      <c r="AN539" s="706"/>
      <c r="AO539" s="706"/>
      <c r="AP539" s="706"/>
      <c r="AQ539" s="707"/>
    </row>
    <row r="540" spans="1:47" s="196" customFormat="1" ht="16" x14ac:dyDescent="0.3">
      <c r="A540" s="201"/>
      <c r="B540" s="72"/>
      <c r="C540" s="768">
        <v>6</v>
      </c>
      <c r="D540" s="769"/>
      <c r="E540" s="242" t="s">
        <v>214</v>
      </c>
      <c r="F540" s="243"/>
      <c r="G540" s="243"/>
      <c r="H540" s="243"/>
      <c r="I540" s="243"/>
      <c r="J540" s="243"/>
      <c r="K540" s="243"/>
      <c r="L540" s="243"/>
      <c r="M540" s="243"/>
      <c r="N540" s="243"/>
      <c r="O540" s="243"/>
      <c r="P540" s="243"/>
      <c r="Q540" s="243"/>
      <c r="R540" s="243"/>
      <c r="S540" s="243"/>
      <c r="T540" s="243"/>
      <c r="U540" s="243"/>
      <c r="V540" s="243"/>
      <c r="W540" s="243"/>
      <c r="X540" s="243"/>
      <c r="Y540" s="243"/>
      <c r="Z540" s="243"/>
      <c r="AA540" s="244"/>
      <c r="AB540" s="687">
        <f>AB537*AB536</f>
        <v>550000</v>
      </c>
      <c r="AC540" s="688"/>
      <c r="AD540" s="688"/>
      <c r="AE540" s="688"/>
      <c r="AF540" s="688"/>
      <c r="AG540" s="688"/>
      <c r="AH540" s="688" t="s">
        <v>199</v>
      </c>
      <c r="AI540" s="688"/>
      <c r="AJ540" s="688"/>
      <c r="AK540" s="199"/>
      <c r="AL540" s="203"/>
    </row>
    <row r="541" spans="1:47" s="196" customFormat="1" ht="12" customHeight="1" x14ac:dyDescent="0.35">
      <c r="A541" s="201"/>
      <c r="B541" s="72"/>
      <c r="C541" s="245"/>
      <c r="D541" s="246"/>
      <c r="E541" s="246" t="s">
        <v>240</v>
      </c>
      <c r="F541" s="246"/>
      <c r="G541" s="246"/>
      <c r="H541" s="246"/>
      <c r="I541" s="246"/>
      <c r="J541" s="246"/>
      <c r="K541" s="246"/>
      <c r="L541" s="246"/>
      <c r="M541" s="246"/>
      <c r="N541" s="246"/>
      <c r="O541" s="246"/>
      <c r="P541" s="246"/>
      <c r="Q541" s="246"/>
      <c r="R541" s="246"/>
      <c r="S541" s="246"/>
      <c r="T541" s="246"/>
      <c r="U541" s="246"/>
      <c r="V541" s="246"/>
      <c r="W541" s="246"/>
      <c r="X541" s="246"/>
      <c r="Y541" s="246"/>
      <c r="Z541" s="246"/>
      <c r="AA541" s="246"/>
      <c r="AB541" s="246"/>
      <c r="AC541" s="246"/>
      <c r="AD541" s="246"/>
      <c r="AE541" s="246"/>
      <c r="AF541" s="246"/>
      <c r="AG541" s="246"/>
      <c r="AH541" s="246"/>
      <c r="AI541" s="246"/>
      <c r="AJ541" s="246"/>
      <c r="AK541" s="246"/>
      <c r="AL541" s="247"/>
    </row>
    <row r="542" spans="1:47" s="196" customFormat="1" ht="17" x14ac:dyDescent="0.45">
      <c r="A542" s="201"/>
      <c r="B542" s="72"/>
      <c r="C542" s="768">
        <v>7</v>
      </c>
      <c r="D542" s="769"/>
      <c r="E542" s="216" t="s">
        <v>215</v>
      </c>
      <c r="F542" s="217"/>
      <c r="G542" s="217"/>
      <c r="H542" s="217"/>
      <c r="I542" s="217"/>
      <c r="J542" s="217"/>
      <c r="K542" s="217"/>
      <c r="L542" s="217"/>
      <c r="M542" s="217"/>
      <c r="N542" s="217"/>
      <c r="O542" s="217"/>
      <c r="P542" s="217"/>
      <c r="Q542" s="217"/>
      <c r="R542" s="217"/>
      <c r="S542" s="217"/>
      <c r="T542" s="217"/>
      <c r="U542" s="217"/>
      <c r="V542" s="217"/>
      <c r="W542" s="217"/>
      <c r="X542" s="217"/>
      <c r="Y542" s="217"/>
      <c r="Z542" s="217"/>
      <c r="AA542" s="218"/>
      <c r="AB542" s="805">
        <f>0.2*U53</f>
        <v>2.2333333333333334</v>
      </c>
      <c r="AC542" s="689"/>
      <c r="AD542" s="689"/>
      <c r="AE542" s="689"/>
      <c r="AF542" s="689"/>
      <c r="AG542" s="689"/>
      <c r="AH542" s="729" t="s">
        <v>216</v>
      </c>
      <c r="AI542" s="729"/>
      <c r="AJ542" s="729"/>
      <c r="AK542" s="202"/>
      <c r="AL542" s="205"/>
    </row>
    <row r="543" spans="1:47" s="196" customFormat="1" x14ac:dyDescent="0.3">
      <c r="A543" s="201"/>
      <c r="B543" s="72"/>
      <c r="C543" s="768">
        <v>8</v>
      </c>
      <c r="D543" s="769"/>
      <c r="E543" s="216" t="s">
        <v>217</v>
      </c>
      <c r="F543" s="217"/>
      <c r="G543" s="217"/>
      <c r="H543" s="217"/>
      <c r="I543" s="217"/>
      <c r="J543" s="217"/>
      <c r="K543" s="217"/>
      <c r="L543" s="217"/>
      <c r="M543" s="217"/>
      <c r="N543" s="217"/>
      <c r="O543" s="217"/>
      <c r="P543" s="217"/>
      <c r="Q543" s="217"/>
      <c r="R543" s="217"/>
      <c r="S543" s="217"/>
      <c r="T543" s="217"/>
      <c r="U543" s="217"/>
      <c r="V543" s="217"/>
      <c r="W543" s="217"/>
      <c r="X543" s="217"/>
      <c r="Y543" s="217"/>
      <c r="Z543" s="217"/>
      <c r="AA543" s="218"/>
      <c r="AB543" s="739">
        <f>MIN((1+SQRT(200/AB537)),2)</f>
        <v>1.6030226891555273</v>
      </c>
      <c r="AC543" s="740"/>
      <c r="AD543" s="740"/>
      <c r="AE543" s="740"/>
      <c r="AF543" s="740"/>
      <c r="AG543" s="740"/>
      <c r="AH543" s="720"/>
      <c r="AI543" s="720"/>
      <c r="AJ543" s="720"/>
      <c r="AK543" s="202"/>
      <c r="AL543" s="205"/>
    </row>
    <row r="544" spans="1:47" s="196" customFormat="1" ht="18.5" x14ac:dyDescent="0.3">
      <c r="A544" s="201"/>
      <c r="B544" s="72"/>
      <c r="C544" s="768">
        <v>9</v>
      </c>
      <c r="D544" s="769"/>
      <c r="E544" s="238" t="s">
        <v>218</v>
      </c>
      <c r="F544" s="239"/>
      <c r="G544" s="239"/>
      <c r="H544" s="239"/>
      <c r="I544" s="239"/>
      <c r="J544" s="239"/>
      <c r="K544" s="239"/>
      <c r="L544" s="239"/>
      <c r="M544" s="239"/>
      <c r="N544" s="239"/>
      <c r="O544" s="239"/>
      <c r="P544" s="239"/>
      <c r="Q544" s="239"/>
      <c r="R544" s="239"/>
      <c r="S544" s="239"/>
      <c r="T544" s="239"/>
      <c r="U544" s="239"/>
      <c r="V544" s="239"/>
      <c r="W544" s="239"/>
      <c r="X544" s="239"/>
      <c r="Y544" s="239"/>
      <c r="Z544" s="239"/>
      <c r="AA544" s="240"/>
      <c r="AB544" s="739">
        <f>IF(AB535=X468,AB484/AB540,AB525/AB540)</f>
        <v>2.0563151914405921E-3</v>
      </c>
      <c r="AC544" s="740"/>
      <c r="AD544" s="740"/>
      <c r="AE544" s="740"/>
      <c r="AF544" s="740"/>
      <c r="AG544" s="740"/>
      <c r="AH544" s="720"/>
      <c r="AI544" s="720"/>
      <c r="AJ544" s="720"/>
      <c r="AK544" s="202"/>
      <c r="AL544" s="205"/>
    </row>
    <row r="545" spans="1:38" s="196" customFormat="1" ht="17.5" x14ac:dyDescent="0.45">
      <c r="A545" s="201"/>
      <c r="B545" s="72"/>
      <c r="C545" s="768">
        <v>10</v>
      </c>
      <c r="D545" s="769"/>
      <c r="E545" s="216" t="s">
        <v>219</v>
      </c>
      <c r="F545" s="217"/>
      <c r="G545" s="217"/>
      <c r="H545" s="217"/>
      <c r="I545" s="217"/>
      <c r="J545" s="217"/>
      <c r="K545" s="217"/>
      <c r="L545" s="217"/>
      <c r="M545" s="217"/>
      <c r="N545" s="217"/>
      <c r="O545" s="217"/>
      <c r="P545" s="217"/>
      <c r="Q545" s="217"/>
      <c r="R545" s="217"/>
      <c r="S545" s="217"/>
      <c r="T545" s="217"/>
      <c r="U545" s="217"/>
      <c r="V545" s="217"/>
      <c r="W545" s="217"/>
      <c r="X545" s="217"/>
      <c r="Y545" s="217"/>
      <c r="Z545" s="217"/>
      <c r="AA545" s="218"/>
      <c r="AB545" s="739">
        <f>0.031*(AB543^(3/2))*(U43^(1/2))</f>
        <v>0.31458731176482008</v>
      </c>
      <c r="AC545" s="740"/>
      <c r="AD545" s="740"/>
      <c r="AE545" s="740"/>
      <c r="AF545" s="740"/>
      <c r="AG545" s="740"/>
      <c r="AH545" s="720" t="s">
        <v>216</v>
      </c>
      <c r="AI545" s="720"/>
      <c r="AJ545" s="720"/>
      <c r="AK545" s="202"/>
      <c r="AL545" s="205"/>
    </row>
    <row r="546" spans="1:38" s="196" customFormat="1" ht="16.5" x14ac:dyDescent="0.4">
      <c r="A546" s="201"/>
      <c r="B546" s="72"/>
      <c r="C546" s="768">
        <v>11</v>
      </c>
      <c r="D546" s="769"/>
      <c r="E546" s="219" t="s">
        <v>220</v>
      </c>
      <c r="F546" s="220"/>
      <c r="G546" s="220"/>
      <c r="H546" s="220"/>
      <c r="I546" s="220"/>
      <c r="J546" s="220"/>
      <c r="K546" s="220"/>
      <c r="L546" s="220"/>
      <c r="M546" s="220"/>
      <c r="N546" s="220"/>
      <c r="O546" s="220"/>
      <c r="P546" s="220"/>
      <c r="Q546" s="220"/>
      <c r="R546" s="220"/>
      <c r="S546" s="220"/>
      <c r="T546" s="220"/>
      <c r="U546" s="220"/>
      <c r="V546" s="220"/>
      <c r="W546" s="220"/>
      <c r="X546" s="220"/>
      <c r="Y546" s="220"/>
      <c r="Z546" s="220"/>
      <c r="AA546" s="221"/>
      <c r="AB546" s="739">
        <f>0.12*AB543*(80*AB544*U43)^0.33</f>
        <v>0.30674706054548095</v>
      </c>
      <c r="AC546" s="740"/>
      <c r="AD546" s="740"/>
      <c r="AE546" s="740"/>
      <c r="AF546" s="740"/>
      <c r="AG546" s="740"/>
      <c r="AH546" s="720" t="s">
        <v>63</v>
      </c>
      <c r="AI546" s="720"/>
      <c r="AJ546" s="720"/>
      <c r="AK546" s="202"/>
      <c r="AL546" s="205"/>
    </row>
    <row r="547" spans="1:38" s="196" customFormat="1" ht="17" x14ac:dyDescent="0.45">
      <c r="A547" s="201"/>
      <c r="B547" s="72"/>
      <c r="C547" s="768">
        <v>12</v>
      </c>
      <c r="D547" s="769"/>
      <c r="E547" s="216" t="s">
        <v>221</v>
      </c>
      <c r="F547" s="217"/>
      <c r="G547" s="217"/>
      <c r="H547" s="217"/>
      <c r="I547" s="217"/>
      <c r="J547" s="217"/>
      <c r="K547" s="217"/>
      <c r="L547" s="217"/>
      <c r="M547" s="217"/>
      <c r="N547" s="217"/>
      <c r="O547" s="217"/>
      <c r="P547" s="217"/>
      <c r="Q547" s="217"/>
      <c r="R547" s="217"/>
      <c r="S547" s="217"/>
      <c r="T547" s="217"/>
      <c r="U547" s="217"/>
      <c r="V547" s="217"/>
      <c r="W547" s="217"/>
      <c r="X547" s="217"/>
      <c r="Y547" s="217"/>
      <c r="Z547" s="217"/>
      <c r="AA547" s="218"/>
      <c r="AB547" s="739">
        <f>((MIN(AB545:AG546)+0.15*AB542)*AB536*AB537)/1000</f>
        <v>352.96088330001453</v>
      </c>
      <c r="AC547" s="740"/>
      <c r="AD547" s="740"/>
      <c r="AE547" s="740"/>
      <c r="AF547" s="740"/>
      <c r="AG547" s="740"/>
      <c r="AH547" s="720" t="s">
        <v>12</v>
      </c>
      <c r="AI547" s="720"/>
      <c r="AJ547" s="720"/>
      <c r="AK547" s="202"/>
      <c r="AL547" s="205"/>
    </row>
    <row r="548" spans="1:38" s="196" customFormat="1" x14ac:dyDescent="0.3">
      <c r="A548" s="201"/>
      <c r="B548" s="72"/>
      <c r="C548" s="768">
        <v>13</v>
      </c>
      <c r="D548" s="769"/>
      <c r="E548" s="242" t="s">
        <v>222</v>
      </c>
      <c r="F548" s="243"/>
      <c r="G548" s="243"/>
      <c r="H548" s="243"/>
      <c r="I548" s="243"/>
      <c r="J548" s="243"/>
      <c r="K548" s="243"/>
      <c r="L548" s="243"/>
      <c r="M548" s="243"/>
      <c r="N548" s="243"/>
      <c r="O548" s="243"/>
      <c r="P548" s="243"/>
      <c r="Q548" s="243"/>
      <c r="R548" s="243"/>
      <c r="S548" s="243"/>
      <c r="T548" s="243"/>
      <c r="U548" s="243"/>
      <c r="V548" s="243"/>
      <c r="W548" s="243"/>
      <c r="X548" s="243"/>
      <c r="Y548" s="243"/>
      <c r="Z548" s="243"/>
      <c r="AA548" s="244"/>
      <c r="AB548" s="741" t="str">
        <f>IF(AB535&gt;AB547,"Yes","No")</f>
        <v>No</v>
      </c>
      <c r="AC548" s="742"/>
      <c r="AD548" s="742"/>
      <c r="AE548" s="742"/>
      <c r="AF548" s="742"/>
      <c r="AG548" s="742"/>
      <c r="AH548" s="166"/>
      <c r="AI548" s="166"/>
      <c r="AJ548" s="166"/>
      <c r="AK548" s="199"/>
      <c r="AL548" s="203"/>
    </row>
    <row r="549" spans="1:38" s="196" customFormat="1" ht="13.5" customHeight="1" x14ac:dyDescent="0.35">
      <c r="A549" s="201"/>
      <c r="B549" s="72"/>
      <c r="C549" s="245"/>
      <c r="D549" s="246"/>
      <c r="E549" s="246" t="s">
        <v>223</v>
      </c>
      <c r="F549" s="246"/>
      <c r="G549" s="246"/>
      <c r="H549" s="246"/>
      <c r="I549" s="246"/>
      <c r="J549" s="246"/>
      <c r="K549" s="246"/>
      <c r="L549" s="246"/>
      <c r="M549" s="246"/>
      <c r="N549" s="246"/>
      <c r="O549" s="246"/>
      <c r="P549" s="246"/>
      <c r="Q549" s="246"/>
      <c r="R549" s="246"/>
      <c r="S549" s="246"/>
      <c r="T549" s="246"/>
      <c r="U549" s="246"/>
      <c r="V549" s="246"/>
      <c r="W549" s="246"/>
      <c r="X549" s="246"/>
      <c r="Y549" s="246"/>
      <c r="Z549" s="246"/>
      <c r="AA549" s="246"/>
      <c r="AB549" s="246"/>
      <c r="AC549" s="246"/>
      <c r="AD549" s="246"/>
      <c r="AE549" s="246"/>
      <c r="AF549" s="246"/>
      <c r="AG549" s="246"/>
      <c r="AH549" s="246"/>
      <c r="AI549" s="246"/>
      <c r="AJ549" s="246"/>
      <c r="AK549" s="246"/>
      <c r="AL549" s="247"/>
    </row>
    <row r="550" spans="1:38" s="196" customFormat="1" x14ac:dyDescent="0.3">
      <c r="A550" s="201"/>
      <c r="B550" s="72"/>
      <c r="C550" s="904">
        <v>14</v>
      </c>
      <c r="D550" s="905"/>
      <c r="E550" s="248" t="s">
        <v>224</v>
      </c>
      <c r="F550" s="249"/>
      <c r="G550" s="249"/>
      <c r="H550" s="249"/>
      <c r="I550" s="249"/>
      <c r="J550" s="249"/>
      <c r="K550" s="249"/>
      <c r="L550" s="249"/>
      <c r="M550" s="249"/>
      <c r="N550" s="249"/>
      <c r="O550" s="249"/>
      <c r="P550" s="249"/>
      <c r="Q550" s="249"/>
      <c r="R550" s="249"/>
      <c r="S550" s="249"/>
      <c r="T550" s="249"/>
      <c r="U550" s="249"/>
      <c r="V550" s="249"/>
      <c r="W550" s="249"/>
      <c r="X550" s="249"/>
      <c r="Y550" s="249"/>
      <c r="Z550" s="249"/>
      <c r="AA550" s="250"/>
      <c r="AB550" s="663">
        <f>IF(AB535&lt;AB547,0,AB535-AB547)</f>
        <v>0</v>
      </c>
      <c r="AC550" s="664"/>
      <c r="AD550" s="664"/>
      <c r="AE550" s="664"/>
      <c r="AF550" s="664"/>
      <c r="AG550" s="664"/>
      <c r="AH550" s="665" t="s">
        <v>12</v>
      </c>
      <c r="AI550" s="665"/>
      <c r="AJ550" s="665"/>
      <c r="AK550" s="198"/>
      <c r="AL550" s="204"/>
    </row>
    <row r="551" spans="1:38" s="196" customFormat="1" ht="14.5" x14ac:dyDescent="0.35">
      <c r="A551" s="201"/>
      <c r="B551" s="72"/>
      <c r="C551" s="768">
        <v>15</v>
      </c>
      <c r="D551" s="769"/>
      <c r="E551" s="222" t="s">
        <v>225</v>
      </c>
      <c r="F551" s="223"/>
      <c r="G551" s="223"/>
      <c r="H551" s="223"/>
      <c r="I551" s="223"/>
      <c r="J551" s="223"/>
      <c r="K551" s="223"/>
      <c r="L551" s="223"/>
      <c r="M551" s="223"/>
      <c r="N551" s="223"/>
      <c r="O551" s="223"/>
      <c r="P551" s="223"/>
      <c r="Q551" s="223"/>
      <c r="R551" s="223"/>
      <c r="S551" s="223"/>
      <c r="T551" s="223"/>
      <c r="U551" s="223"/>
      <c r="V551" s="223"/>
      <c r="W551" s="223"/>
      <c r="X551" s="223"/>
      <c r="Y551" s="223"/>
      <c r="Z551" s="223"/>
      <c r="AA551" s="224"/>
      <c r="AB551" s="779">
        <v>0</v>
      </c>
      <c r="AC551" s="780"/>
      <c r="AD551" s="780"/>
      <c r="AE551" s="780"/>
      <c r="AF551" s="780"/>
      <c r="AG551" s="780"/>
      <c r="AH551" s="720" t="s">
        <v>2</v>
      </c>
      <c r="AI551" s="720"/>
      <c r="AJ551" s="720"/>
      <c r="AK551" s="202"/>
      <c r="AL551" s="205"/>
    </row>
    <row r="552" spans="1:38" s="196" customFormat="1" ht="14.5" x14ac:dyDescent="0.35">
      <c r="A552" s="201"/>
      <c r="B552" s="72"/>
      <c r="C552" s="768">
        <v>16</v>
      </c>
      <c r="D552" s="769"/>
      <c r="E552" s="222" t="s">
        <v>226</v>
      </c>
      <c r="F552" s="223"/>
      <c r="G552" s="223"/>
      <c r="H552" s="223"/>
      <c r="I552" s="223"/>
      <c r="J552" s="223"/>
      <c r="K552" s="223"/>
      <c r="L552" s="223"/>
      <c r="M552" s="223"/>
      <c r="N552" s="223"/>
      <c r="O552" s="223"/>
      <c r="P552" s="223"/>
      <c r="Q552" s="223"/>
      <c r="R552" s="223"/>
      <c r="S552" s="223"/>
      <c r="T552" s="223"/>
      <c r="U552" s="223"/>
      <c r="V552" s="223"/>
      <c r="W552" s="223"/>
      <c r="X552" s="223"/>
      <c r="Y552" s="223"/>
      <c r="Z552" s="223"/>
      <c r="AA552" s="224"/>
      <c r="AB552" s="779">
        <v>1</v>
      </c>
      <c r="AC552" s="780"/>
      <c r="AD552" s="780"/>
      <c r="AE552" s="780"/>
      <c r="AF552" s="780"/>
      <c r="AG552" s="780"/>
      <c r="AH552" s="720"/>
      <c r="AI552" s="720"/>
      <c r="AJ552" s="720"/>
      <c r="AK552" s="202"/>
      <c r="AL552" s="205"/>
    </row>
    <row r="553" spans="1:38" s="196" customFormat="1" ht="14.5" x14ac:dyDescent="0.35">
      <c r="A553" s="201"/>
      <c r="B553" s="72"/>
      <c r="C553" s="768">
        <v>17</v>
      </c>
      <c r="D553" s="769"/>
      <c r="E553" s="222" t="s">
        <v>227</v>
      </c>
      <c r="F553" s="223"/>
      <c r="G553" s="223"/>
      <c r="H553" s="223"/>
      <c r="I553" s="223"/>
      <c r="J553" s="223"/>
      <c r="K553" s="223"/>
      <c r="L553" s="223"/>
      <c r="M553" s="223"/>
      <c r="N553" s="223"/>
      <c r="O553" s="223"/>
      <c r="P553" s="223"/>
      <c r="Q553" s="223"/>
      <c r="R553" s="223"/>
      <c r="S553" s="223"/>
      <c r="T553" s="223"/>
      <c r="U553" s="223"/>
      <c r="V553" s="223"/>
      <c r="W553" s="223"/>
      <c r="X553" s="223"/>
      <c r="Y553" s="223"/>
      <c r="Z553" s="223"/>
      <c r="AA553" s="224"/>
      <c r="AB553" s="779">
        <v>0</v>
      </c>
      <c r="AC553" s="780"/>
      <c r="AD553" s="780"/>
      <c r="AE553" s="780"/>
      <c r="AF553" s="780"/>
      <c r="AG553" s="780"/>
      <c r="AH553" s="720" t="s">
        <v>2</v>
      </c>
      <c r="AI553" s="720"/>
      <c r="AJ553" s="720"/>
      <c r="AK553" s="202"/>
      <c r="AL553" s="205"/>
    </row>
    <row r="554" spans="1:38" s="196" customFormat="1" ht="16" x14ac:dyDescent="0.3">
      <c r="A554" s="201"/>
      <c r="B554" s="72"/>
      <c r="C554" s="768">
        <v>18</v>
      </c>
      <c r="D554" s="769"/>
      <c r="E554" s="211" t="s">
        <v>228</v>
      </c>
      <c r="F554" s="184"/>
      <c r="G554" s="184"/>
      <c r="H554" s="184"/>
      <c r="I554" s="184"/>
      <c r="J554" s="184"/>
      <c r="K554" s="184"/>
      <c r="L554" s="184"/>
      <c r="M554" s="184"/>
      <c r="N554" s="184"/>
      <c r="O554" s="202"/>
      <c r="P554" s="202"/>
      <c r="Q554" s="202"/>
      <c r="R554" s="202"/>
      <c r="S554" s="202"/>
      <c r="T554" s="202"/>
      <c r="U554" s="202"/>
      <c r="V554" s="202"/>
      <c r="W554" s="202"/>
      <c r="X554" s="202"/>
      <c r="Y554" s="202"/>
      <c r="Z554" s="202"/>
      <c r="AA554" s="205"/>
      <c r="AB554" s="781" t="str">
        <f>IF(AB550=0,"---",((PI()/4*AB552*(AB551^2)*1000)/AB553))</f>
        <v>---</v>
      </c>
      <c r="AC554" s="782"/>
      <c r="AD554" s="782"/>
      <c r="AE554" s="782"/>
      <c r="AF554" s="782"/>
      <c r="AG554" s="782"/>
      <c r="AH554" s="720" t="s">
        <v>199</v>
      </c>
      <c r="AI554" s="720"/>
      <c r="AJ554" s="720"/>
      <c r="AK554" s="202"/>
      <c r="AL554" s="205"/>
    </row>
    <row r="555" spans="1:38" s="196" customFormat="1" x14ac:dyDescent="0.3">
      <c r="A555" s="201"/>
      <c r="B555" s="72"/>
      <c r="C555" s="768">
        <v>19</v>
      </c>
      <c r="D555" s="769"/>
      <c r="E555" s="216" t="s">
        <v>229</v>
      </c>
      <c r="F555" s="217"/>
      <c r="G555" s="217"/>
      <c r="H555" s="217"/>
      <c r="I555" s="217"/>
      <c r="J555" s="217"/>
      <c r="K555" s="217"/>
      <c r="L555" s="217"/>
      <c r="M555" s="217"/>
      <c r="N555" s="217"/>
      <c r="O555" s="202"/>
      <c r="P555" s="202"/>
      <c r="Q555" s="202"/>
      <c r="R555" s="202"/>
      <c r="S555" s="202"/>
      <c r="T555" s="202"/>
      <c r="U555" s="202"/>
      <c r="V555" s="202"/>
      <c r="W555" s="202"/>
      <c r="X555" s="202"/>
      <c r="Y555" s="202"/>
      <c r="Z555" s="202"/>
      <c r="AA555" s="205"/>
      <c r="AB555" s="781" t="str">
        <f>IF(AB550=0,"---",(AB554/((3.14*AB552*AB551^2)/4)))</f>
        <v>---</v>
      </c>
      <c r="AC555" s="782"/>
      <c r="AD555" s="782"/>
      <c r="AE555" s="782"/>
      <c r="AF555" s="782"/>
      <c r="AG555" s="782"/>
      <c r="AH555" s="720"/>
      <c r="AI555" s="720"/>
      <c r="AJ555" s="720"/>
      <c r="AK555" s="202"/>
      <c r="AL555" s="205"/>
    </row>
    <row r="556" spans="1:38" s="196" customFormat="1" ht="17" x14ac:dyDescent="0.45">
      <c r="A556" s="201"/>
      <c r="B556" s="72"/>
      <c r="C556" s="768">
        <v>20</v>
      </c>
      <c r="D556" s="769"/>
      <c r="E556" s="226" t="s">
        <v>230</v>
      </c>
      <c r="F556" s="227"/>
      <c r="G556" s="227"/>
      <c r="H556" s="227"/>
      <c r="I556" s="227"/>
      <c r="J556" s="227"/>
      <c r="K556" s="227"/>
      <c r="L556" s="227"/>
      <c r="M556" s="227"/>
      <c r="N556" s="227"/>
      <c r="O556" s="202"/>
      <c r="P556" s="202"/>
      <c r="Q556" s="202"/>
      <c r="R556" s="202"/>
      <c r="S556" s="202"/>
      <c r="T556" s="202"/>
      <c r="U556" s="202"/>
      <c r="V556" s="202"/>
      <c r="W556" s="202"/>
      <c r="X556" s="202"/>
      <c r="Y556" s="202"/>
      <c r="Z556" s="202"/>
      <c r="AA556" s="205"/>
      <c r="AB556" s="745">
        <v>1.2</v>
      </c>
      <c r="AC556" s="746"/>
      <c r="AD556" s="746"/>
      <c r="AE556" s="746"/>
      <c r="AF556" s="746"/>
      <c r="AG556" s="746"/>
      <c r="AH556" s="720"/>
      <c r="AI556" s="720"/>
      <c r="AJ556" s="720"/>
      <c r="AK556" s="202"/>
      <c r="AL556" s="205"/>
    </row>
    <row r="557" spans="1:38" s="196" customFormat="1" ht="14.5" x14ac:dyDescent="0.35">
      <c r="A557" s="201"/>
      <c r="B557" s="72"/>
      <c r="C557" s="768">
        <v>21</v>
      </c>
      <c r="D557" s="769"/>
      <c r="E557" s="222" t="s">
        <v>231</v>
      </c>
      <c r="F557" s="223"/>
      <c r="G557" s="223"/>
      <c r="H557" s="223"/>
      <c r="I557" s="223"/>
      <c r="J557" s="223"/>
      <c r="K557" s="223"/>
      <c r="L557" s="223"/>
      <c r="M557" s="223"/>
      <c r="N557" s="223"/>
      <c r="O557" s="202"/>
      <c r="P557" s="202"/>
      <c r="Q557" s="202"/>
      <c r="R557" s="202"/>
      <c r="S557" s="202"/>
      <c r="T557" s="202"/>
      <c r="U557" s="202"/>
      <c r="V557" s="202"/>
      <c r="W557" s="202"/>
      <c r="X557" s="202"/>
      <c r="Y557" s="144"/>
      <c r="Z557" s="144"/>
      <c r="AA557" s="105"/>
      <c r="AB557" s="777" t="str">
        <f>IF(AB550=0,"---",(0.9*AB537*1000))</f>
        <v>---</v>
      </c>
      <c r="AC557" s="778"/>
      <c r="AD557" s="778"/>
      <c r="AE557" s="778"/>
      <c r="AF557" s="778"/>
      <c r="AG557" s="778"/>
      <c r="AH557" s="720" t="s">
        <v>2</v>
      </c>
      <c r="AI557" s="720"/>
      <c r="AJ557" s="720"/>
      <c r="AK557" s="202"/>
      <c r="AL557" s="205"/>
    </row>
    <row r="558" spans="1:38" s="196" customFormat="1" ht="16.5" x14ac:dyDescent="0.45">
      <c r="A558" s="201"/>
      <c r="B558" s="72"/>
      <c r="C558" s="768">
        <v>22</v>
      </c>
      <c r="D558" s="769"/>
      <c r="E558" s="222" t="s">
        <v>232</v>
      </c>
      <c r="F558" s="223"/>
      <c r="G558" s="223"/>
      <c r="H558" s="223"/>
      <c r="I558" s="223"/>
      <c r="J558" s="223"/>
      <c r="K558" s="223"/>
      <c r="L558" s="223"/>
      <c r="M558" s="223"/>
      <c r="N558" s="223"/>
      <c r="O558" s="202"/>
      <c r="P558" s="202"/>
      <c r="Q558" s="202"/>
      <c r="R558" s="202"/>
      <c r="S558" s="202"/>
      <c r="T558" s="202"/>
      <c r="U558" s="202"/>
      <c r="V558" s="202"/>
      <c r="W558" s="202"/>
      <c r="X558" s="202"/>
      <c r="Y558" s="202"/>
      <c r="Z558" s="202"/>
      <c r="AA558" s="205"/>
      <c r="AB558" s="713" t="str">
        <f>IF(AB550=0,"---",AB538)</f>
        <v>---</v>
      </c>
      <c r="AC558" s="714"/>
      <c r="AD558" s="714"/>
      <c r="AE558" s="714"/>
      <c r="AF558" s="714"/>
      <c r="AG558" s="714"/>
      <c r="AH558" s="720"/>
      <c r="AI558" s="720"/>
      <c r="AJ558" s="720"/>
      <c r="AK558" s="202"/>
      <c r="AL558" s="205"/>
    </row>
    <row r="559" spans="1:38" s="196" customFormat="1" ht="14.5" x14ac:dyDescent="0.35">
      <c r="A559" s="201"/>
      <c r="B559" s="72"/>
      <c r="C559" s="768">
        <v>23</v>
      </c>
      <c r="D559" s="769"/>
      <c r="E559" s="228" t="s">
        <v>233</v>
      </c>
      <c r="F559" s="229"/>
      <c r="G559" s="229"/>
      <c r="H559" s="229"/>
      <c r="I559" s="229"/>
      <c r="J559" s="229"/>
      <c r="K559" s="229"/>
      <c r="L559" s="229"/>
      <c r="M559" s="229"/>
      <c r="N559" s="229"/>
      <c r="O559" s="202"/>
      <c r="P559" s="202"/>
      <c r="Q559" s="202"/>
      <c r="R559" s="202"/>
      <c r="S559" s="202"/>
      <c r="T559" s="202"/>
      <c r="U559" s="202"/>
      <c r="V559" s="202"/>
      <c r="W559" s="202"/>
      <c r="X559" s="202"/>
      <c r="Y559" s="202"/>
      <c r="Z559" s="202"/>
      <c r="AA559" s="205"/>
      <c r="AB559" s="777">
        <f>IF(AB550&lt;(0.115*AB538*U43),21.8,45)</f>
        <v>21.8</v>
      </c>
      <c r="AC559" s="778"/>
      <c r="AD559" s="778"/>
      <c r="AE559" s="778"/>
      <c r="AF559" s="778"/>
      <c r="AG559" s="778"/>
      <c r="AH559" s="720" t="s">
        <v>172</v>
      </c>
      <c r="AI559" s="720"/>
      <c r="AJ559" s="720"/>
      <c r="AK559" s="202"/>
      <c r="AL559" s="205"/>
    </row>
    <row r="560" spans="1:38" s="196" customFormat="1" ht="14.5" x14ac:dyDescent="0.35">
      <c r="A560" s="201"/>
      <c r="B560" s="72"/>
      <c r="C560" s="768">
        <v>24</v>
      </c>
      <c r="D560" s="769"/>
      <c r="E560" s="222" t="s">
        <v>234</v>
      </c>
      <c r="F560" s="223"/>
      <c r="G560" s="223"/>
      <c r="H560" s="223"/>
      <c r="I560" s="223"/>
      <c r="J560" s="223"/>
      <c r="K560" s="223"/>
      <c r="L560" s="223"/>
      <c r="M560" s="223"/>
      <c r="N560" s="223"/>
      <c r="O560" s="202"/>
      <c r="P560" s="202"/>
      <c r="Q560" s="202"/>
      <c r="R560" s="202"/>
      <c r="S560" s="202"/>
      <c r="T560" s="202"/>
      <c r="U560" s="202"/>
      <c r="V560" s="202"/>
      <c r="W560" s="202"/>
      <c r="X560" s="202"/>
      <c r="Y560" s="202"/>
      <c r="Z560" s="202"/>
      <c r="AA560" s="205"/>
      <c r="AB560" s="713">
        <f>(COS(AB559*(PI()/180)))/(SIN(AB559*(PI()/180)))</f>
        <v>2.5001783622570013</v>
      </c>
      <c r="AC560" s="714"/>
      <c r="AD560" s="714"/>
      <c r="AE560" s="714"/>
      <c r="AF560" s="714"/>
      <c r="AG560" s="714"/>
      <c r="AH560" s="720" t="s">
        <v>172</v>
      </c>
      <c r="AI560" s="720"/>
      <c r="AJ560" s="720"/>
      <c r="AK560" s="202"/>
      <c r="AL560" s="205"/>
    </row>
    <row r="561" spans="1:93" s="196" customFormat="1" ht="14.5" x14ac:dyDescent="0.35">
      <c r="A561" s="201"/>
      <c r="B561" s="72"/>
      <c r="C561" s="768">
        <v>25</v>
      </c>
      <c r="D561" s="769"/>
      <c r="E561" s="222" t="s">
        <v>235</v>
      </c>
      <c r="F561" s="223"/>
      <c r="G561" s="223"/>
      <c r="H561" s="223"/>
      <c r="I561" s="223"/>
      <c r="J561" s="223"/>
      <c r="K561" s="223"/>
      <c r="L561" s="223"/>
      <c r="M561" s="223"/>
      <c r="N561" s="223"/>
      <c r="O561" s="202"/>
      <c r="P561" s="202"/>
      <c r="Q561" s="202"/>
      <c r="R561" s="202"/>
      <c r="S561" s="202"/>
      <c r="T561" s="202"/>
      <c r="U561" s="202"/>
      <c r="V561" s="202"/>
      <c r="W561" s="202"/>
      <c r="X561" s="202"/>
      <c r="Y561" s="202"/>
      <c r="Z561" s="202"/>
      <c r="AA561" s="205"/>
      <c r="AB561" s="713">
        <f>TAN(AB559*(PI()/180))</f>
        <v>0.39997146407477258</v>
      </c>
      <c r="AC561" s="714"/>
      <c r="AD561" s="714"/>
      <c r="AE561" s="714"/>
      <c r="AF561" s="714"/>
      <c r="AG561" s="714"/>
      <c r="AH561" s="720" t="s">
        <v>172</v>
      </c>
      <c r="AI561" s="720"/>
      <c r="AJ561" s="720"/>
      <c r="AK561" s="202"/>
      <c r="AL561" s="205"/>
    </row>
    <row r="562" spans="1:93" s="196" customFormat="1" ht="17" x14ac:dyDescent="0.45">
      <c r="A562" s="201"/>
      <c r="B562" s="72"/>
      <c r="C562" s="768">
        <v>26</v>
      </c>
      <c r="D562" s="769"/>
      <c r="E562" s="216" t="s">
        <v>236</v>
      </c>
      <c r="F562" s="217"/>
      <c r="G562" s="217"/>
      <c r="H562" s="217"/>
      <c r="I562" s="217"/>
      <c r="J562" s="217"/>
      <c r="K562" s="217"/>
      <c r="L562" s="217"/>
      <c r="M562" s="217"/>
      <c r="N562" s="217"/>
      <c r="O562" s="202"/>
      <c r="P562" s="202"/>
      <c r="Q562" s="202"/>
      <c r="R562" s="202"/>
      <c r="S562" s="202"/>
      <c r="T562" s="202"/>
      <c r="U562" s="202"/>
      <c r="V562" s="202"/>
      <c r="W562" s="202"/>
      <c r="X562" s="202"/>
      <c r="Y562" s="202"/>
      <c r="Z562" s="202"/>
      <c r="AA562" s="205"/>
      <c r="AB562" s="739" t="str">
        <f>IF(AB550=0,"---",(((AB554/AB553)*(AB557)*U43*AB560)/1000))</f>
        <v>---</v>
      </c>
      <c r="AC562" s="740"/>
      <c r="AD562" s="740"/>
      <c r="AE562" s="740"/>
      <c r="AF562" s="740"/>
      <c r="AG562" s="740"/>
      <c r="AH562" s="720" t="s">
        <v>12</v>
      </c>
      <c r="AI562" s="720"/>
      <c r="AJ562" s="720"/>
      <c r="AK562" s="202"/>
      <c r="AL562" s="205"/>
      <c r="AS562" s="283"/>
      <c r="AT562" s="283"/>
      <c r="AU562" s="283"/>
      <c r="AV562" s="283"/>
      <c r="AW562" s="399"/>
      <c r="AX562" s="399"/>
      <c r="AY562" s="283"/>
      <c r="AZ562" s="283"/>
      <c r="BA562" s="283"/>
      <c r="BB562" s="283"/>
      <c r="BC562" s="697">
        <f>AE272</f>
        <v>70.984248588631871</v>
      </c>
      <c r="BD562" s="697"/>
      <c r="BE562" s="697"/>
      <c r="BG562" s="283"/>
      <c r="BH562" s="283"/>
      <c r="BI562" s="283"/>
      <c r="BJ562" s="283"/>
      <c r="BK562" s="399"/>
      <c r="BL562" s="399"/>
      <c r="BM562" s="283"/>
      <c r="BN562" s="283"/>
      <c r="BO562" s="283"/>
      <c r="BP562" s="283"/>
      <c r="BQ562" s="697">
        <f>AE288</f>
        <v>68.370207853412879</v>
      </c>
      <c r="BR562" s="697"/>
      <c r="BS562" s="697"/>
    </row>
    <row r="563" spans="1:93" s="196" customFormat="1" ht="16.5" x14ac:dyDescent="0.45">
      <c r="A563" s="201"/>
      <c r="B563" s="72"/>
      <c r="C563" s="768">
        <v>27</v>
      </c>
      <c r="D563" s="769"/>
      <c r="E563" s="222" t="s">
        <v>237</v>
      </c>
      <c r="F563" s="230"/>
      <c r="G563" s="230"/>
      <c r="H563" s="230"/>
      <c r="I563" s="230"/>
      <c r="J563" s="230"/>
      <c r="K563" s="230"/>
      <c r="L563" s="230"/>
      <c r="M563" s="230"/>
      <c r="N563" s="230"/>
      <c r="O563" s="202"/>
      <c r="P563" s="202"/>
      <c r="Q563" s="202"/>
      <c r="R563" s="202"/>
      <c r="S563" s="202"/>
      <c r="T563" s="202"/>
      <c r="U563" s="202"/>
      <c r="V563" s="202"/>
      <c r="W563" s="202"/>
      <c r="X563" s="202"/>
      <c r="Y563" s="202"/>
      <c r="Z563" s="202"/>
      <c r="AA563" s="205"/>
      <c r="AB563" s="702" t="str">
        <f>IF(AB550=0,"---",((AB556*AB536*AB557*AB558*(U53/(AB560+AB561)))/1000))</f>
        <v>---</v>
      </c>
      <c r="AC563" s="703"/>
      <c r="AD563" s="703"/>
      <c r="AE563" s="703"/>
      <c r="AF563" s="703"/>
      <c r="AG563" s="703"/>
      <c r="AH563" s="729" t="s">
        <v>12</v>
      </c>
      <c r="AI563" s="729"/>
      <c r="AJ563" s="729"/>
      <c r="AK563" s="202"/>
      <c r="AL563" s="205"/>
      <c r="AS563" s="697">
        <f>AE268</f>
        <v>68.350590405438467</v>
      </c>
      <c r="AT563" s="697"/>
      <c r="AU563" s="697"/>
      <c r="AV563" s="283"/>
      <c r="AW563" s="399"/>
      <c r="AX563" s="399"/>
      <c r="AY563" s="283"/>
      <c r="AZ563" s="283"/>
      <c r="BA563" s="285"/>
      <c r="BB563" s="285"/>
      <c r="BC563" s="291" t="s">
        <v>10</v>
      </c>
      <c r="BD563" s="286"/>
      <c r="BE563" s="283"/>
      <c r="BG563" s="697">
        <f>AE284</f>
        <v>64.328989274332315</v>
      </c>
      <c r="BH563" s="697"/>
      <c r="BI563" s="697"/>
      <c r="BJ563" s="283"/>
      <c r="BK563" s="399"/>
      <c r="BL563" s="399"/>
      <c r="BM563" s="283"/>
      <c r="BN563" s="283"/>
      <c r="BO563" s="285"/>
      <c r="BP563" s="285"/>
      <c r="BQ563" s="291" t="s">
        <v>10</v>
      </c>
      <c r="BR563" s="286"/>
      <c r="BS563" s="283"/>
    </row>
    <row r="564" spans="1:93" s="196" customFormat="1" ht="14.5" x14ac:dyDescent="0.35">
      <c r="A564" s="201"/>
      <c r="B564" s="72"/>
      <c r="C564" s="783">
        <v>28</v>
      </c>
      <c r="D564" s="784"/>
      <c r="E564" s="216" t="s">
        <v>238</v>
      </c>
      <c r="F564" s="217"/>
      <c r="G564" s="217"/>
      <c r="H564" s="217"/>
      <c r="I564" s="217"/>
      <c r="J564" s="217"/>
      <c r="K564" s="217"/>
      <c r="L564" s="217"/>
      <c r="M564" s="217"/>
      <c r="N564" s="217"/>
      <c r="O564" s="202"/>
      <c r="P564" s="202"/>
      <c r="Q564" s="202"/>
      <c r="R564" s="202"/>
      <c r="S564" s="202"/>
      <c r="T564" s="202"/>
      <c r="U564" s="202"/>
      <c r="V564" s="202"/>
      <c r="W564" s="202"/>
      <c r="X564" s="202"/>
      <c r="Y564" s="202"/>
      <c r="Z564" s="202"/>
      <c r="AA564" s="205"/>
      <c r="AB564" s="739">
        <f>MIN(AB562:AG563)</f>
        <v>0</v>
      </c>
      <c r="AC564" s="740"/>
      <c r="AD564" s="740"/>
      <c r="AE564" s="740"/>
      <c r="AF564" s="740"/>
      <c r="AG564" s="740"/>
      <c r="AH564" s="720" t="s">
        <v>12</v>
      </c>
      <c r="AI564" s="720"/>
      <c r="AJ564" s="720"/>
      <c r="AK564" s="202"/>
      <c r="AL564" s="241"/>
      <c r="AM564" s="705" t="str">
        <f>IF(AB550=0,"---",(IF(AB550&gt;AB564,"NOT Safe"," Safe")))</f>
        <v>---</v>
      </c>
      <c r="AN564" s="706"/>
      <c r="AO564" s="706"/>
      <c r="AP564" s="706"/>
      <c r="AQ564" s="707"/>
      <c r="AS564" s="291" t="s">
        <v>10</v>
      </c>
      <c r="AT564" s="283"/>
      <c r="AU564" s="283"/>
      <c r="AV564" s="283"/>
      <c r="AW564" s="399"/>
      <c r="AX564" s="399"/>
      <c r="AY564" s="283"/>
      <c r="AZ564" s="283"/>
      <c r="BA564" s="285"/>
      <c r="BB564" s="285"/>
      <c r="BC564" s="283"/>
      <c r="BD564" s="286"/>
      <c r="BE564" s="283"/>
      <c r="BG564" s="291" t="s">
        <v>10</v>
      </c>
      <c r="BH564" s="283"/>
      <c r="BI564" s="283"/>
      <c r="BJ564" s="283"/>
      <c r="BK564" s="399"/>
      <c r="BL564" s="399"/>
      <c r="BM564" s="283"/>
      <c r="BN564" s="283"/>
      <c r="BO564" s="285"/>
      <c r="BP564" s="285"/>
      <c r="BQ564" s="283"/>
      <c r="BR564" s="286"/>
      <c r="BS564" s="283"/>
    </row>
    <row r="565" spans="1:93" s="196" customFormat="1" ht="7.5" customHeight="1" x14ac:dyDescent="0.35">
      <c r="A565" s="201"/>
      <c r="B565" s="72"/>
      <c r="C565" s="201"/>
      <c r="H565" s="73"/>
      <c r="AS565" s="384"/>
      <c r="AT565" s="384"/>
      <c r="AU565" s="384"/>
      <c r="AV565" s="398" t="s">
        <v>409</v>
      </c>
      <c r="AW565" s="384"/>
      <c r="AX565" s="384"/>
      <c r="AY565" s="384"/>
      <c r="AZ565" s="384"/>
      <c r="BA565" s="384"/>
      <c r="BB565" s="384"/>
      <c r="BC565" s="384"/>
      <c r="BD565" s="384"/>
      <c r="BE565" s="384"/>
      <c r="BG565" s="384"/>
      <c r="BH565" s="384"/>
      <c r="BI565" s="384"/>
      <c r="BJ565" s="398" t="s">
        <v>409</v>
      </c>
      <c r="BK565" s="384"/>
      <c r="BL565" s="384"/>
      <c r="BM565" s="384"/>
      <c r="BN565" s="384"/>
      <c r="BO565" s="384"/>
      <c r="BP565" s="384"/>
      <c r="BQ565" s="384"/>
      <c r="BR565" s="384"/>
      <c r="BS565" s="384"/>
    </row>
    <row r="566" spans="1:93" s="528" customFormat="1" ht="7.5" customHeight="1" x14ac:dyDescent="0.35">
      <c r="A566" s="526"/>
      <c r="B566" s="72"/>
      <c r="C566" s="526"/>
      <c r="H566" s="73"/>
      <c r="AV566" s="398"/>
      <c r="BJ566" s="398"/>
    </row>
    <row r="567" spans="1:93" s="528" customFormat="1" ht="7.5" customHeight="1" x14ac:dyDescent="0.35">
      <c r="A567" s="526"/>
      <c r="B567" s="72"/>
      <c r="C567" s="526"/>
      <c r="H567" s="73"/>
      <c r="AV567" s="398"/>
      <c r="BJ567" s="398"/>
    </row>
    <row r="568" spans="1:93" s="196" customFormat="1" x14ac:dyDescent="0.35">
      <c r="A568" s="299"/>
      <c r="B568" s="299"/>
      <c r="C568" s="233" t="s">
        <v>395</v>
      </c>
      <c r="D568" s="305"/>
      <c r="E568" s="305"/>
      <c r="F568" s="305"/>
      <c r="G568" s="305"/>
      <c r="H568" s="305"/>
      <c r="I568" s="305"/>
      <c r="J568" s="305"/>
      <c r="K568" s="305"/>
      <c r="L568" s="305"/>
      <c r="M568" s="305"/>
      <c r="N568" s="305"/>
      <c r="O568" s="305"/>
      <c r="P568" s="305"/>
      <c r="Q568" s="305"/>
      <c r="R568" s="305"/>
      <c r="S568" s="305"/>
      <c r="T568" s="305"/>
      <c r="U568" s="305"/>
      <c r="V568" s="305"/>
      <c r="W568" s="305"/>
      <c r="X568" s="305"/>
      <c r="Y568" s="305"/>
      <c r="Z568" s="305"/>
      <c r="AA568" s="305"/>
      <c r="AB568" s="305"/>
      <c r="AC568" s="305"/>
      <c r="AD568" s="305"/>
      <c r="AE568" s="305"/>
      <c r="AF568" s="305"/>
      <c r="AG568" s="305"/>
      <c r="AH568" s="305"/>
      <c r="AI568" s="305"/>
      <c r="AJ568" s="305"/>
      <c r="AK568" s="305"/>
      <c r="AL568" s="305"/>
      <c r="AM568" s="305"/>
      <c r="AN568" s="305"/>
      <c r="AO568" s="305"/>
      <c r="AP568" s="305"/>
      <c r="AQ568" s="305"/>
      <c r="BG568" s="384"/>
      <c r="BH568" s="384"/>
      <c r="BI568" s="384"/>
      <c r="BJ568" s="384"/>
      <c r="BK568" s="384"/>
      <c r="BL568" s="384"/>
      <c r="BM568" s="384"/>
      <c r="BN568" s="384"/>
      <c r="BO568" s="384"/>
      <c r="BP568" s="384"/>
      <c r="BQ568" s="384"/>
      <c r="BR568" s="384"/>
      <c r="BS568" s="384"/>
    </row>
    <row r="569" spans="1:93" s="196" customFormat="1" ht="14.5" x14ac:dyDescent="0.35">
      <c r="A569" s="299"/>
      <c r="B569" s="299"/>
      <c r="C569" s="299"/>
      <c r="D569" s="305"/>
      <c r="E569" s="305"/>
      <c r="F569" s="37"/>
      <c r="G569" s="305"/>
      <c r="H569" s="305"/>
      <c r="I569" s="305"/>
      <c r="J569" s="305"/>
      <c r="K569" s="305"/>
      <c r="L569" s="305"/>
      <c r="M569" s="305"/>
      <c r="N569" s="305"/>
      <c r="O569" s="305"/>
      <c r="P569" s="305"/>
      <c r="Q569" s="305"/>
      <c r="R569" s="305"/>
      <c r="S569" s="305"/>
      <c r="T569" s="305"/>
      <c r="U569" s="305"/>
      <c r="V569" s="305"/>
      <c r="W569" s="305"/>
      <c r="Y569" s="295"/>
      <c r="Z569" s="295"/>
      <c r="AA569" s="307"/>
      <c r="AB569" s="307"/>
      <c r="AC569" s="120"/>
      <c r="AD569" s="120"/>
      <c r="AE569" s="292"/>
      <c r="AF569" s="305"/>
      <c r="AG569" s="305"/>
      <c r="AH569" s="282"/>
      <c r="AI569" s="284"/>
      <c r="AJ569" s="284"/>
      <c r="AK569" s="283"/>
      <c r="AL569" s="283"/>
      <c r="AM569" s="285"/>
      <c r="AN569" s="285"/>
      <c r="AO569" s="283"/>
      <c r="AP569" s="283"/>
      <c r="AQ569" s="283"/>
    </row>
    <row r="570" spans="1:93" s="196" customFormat="1" ht="14.5" x14ac:dyDescent="0.35">
      <c r="A570" s="299"/>
      <c r="B570" s="299"/>
      <c r="C570" s="213" t="s">
        <v>343</v>
      </c>
      <c r="D570" s="299"/>
      <c r="E570" s="299"/>
      <c r="F570" s="40"/>
      <c r="G570" s="299"/>
      <c r="H570" s="299"/>
      <c r="I570" s="299"/>
      <c r="J570" s="299"/>
      <c r="K570" s="299" t="s">
        <v>0</v>
      </c>
      <c r="L570" s="213" t="s">
        <v>444</v>
      </c>
      <c r="M570" s="299"/>
      <c r="N570" s="299"/>
      <c r="O570" s="213"/>
      <c r="P570" s="299"/>
      <c r="Q570" s="299"/>
      <c r="R570" s="299"/>
      <c r="S570" s="299"/>
      <c r="T570" s="299"/>
      <c r="U570" s="213"/>
      <c r="V570" s="299"/>
      <c r="W570" s="307"/>
      <c r="X570" s="307"/>
      <c r="Y570" s="307"/>
      <c r="Z570" s="307"/>
      <c r="AA570" s="307"/>
      <c r="AB570" s="307"/>
      <c r="AC570" s="307"/>
      <c r="AD570" s="307"/>
      <c r="AE570" s="283"/>
      <c r="AF570" s="283"/>
      <c r="AG570" s="283"/>
      <c r="AH570" s="283"/>
      <c r="AI570" s="284"/>
      <c r="AJ570" s="284"/>
      <c r="AK570" s="283"/>
      <c r="AL570" s="283"/>
      <c r="AM570" s="283"/>
      <c r="AN570" s="283"/>
      <c r="AO570" s="697">
        <f>AE256</f>
        <v>101.86395491419788</v>
      </c>
      <c r="AP570" s="697"/>
      <c r="AQ570" s="697"/>
      <c r="AS570" s="106"/>
      <c r="AT570" s="365"/>
      <c r="AU570" s="670" t="s">
        <v>403</v>
      </c>
      <c r="AV570" s="670"/>
      <c r="AW570" s="670"/>
      <c r="AX570" s="670"/>
      <c r="AY570" s="670"/>
      <c r="AZ570" s="670"/>
      <c r="BA570" s="670"/>
      <c r="BB570" s="106"/>
      <c r="BC570" s="379"/>
      <c r="BD570" s="128" t="s">
        <v>410</v>
      </c>
      <c r="BE570" s="128"/>
      <c r="BF570" s="128"/>
      <c r="BG570" s="128"/>
      <c r="BH570" s="128"/>
      <c r="BI570" s="128"/>
      <c r="BJ570" s="128"/>
      <c r="BK570" s="365"/>
      <c r="BL570" s="365"/>
      <c r="BM570" s="365"/>
      <c r="BN570" s="365"/>
      <c r="BO570" s="365"/>
      <c r="BP570" s="367"/>
      <c r="BQ570" s="372"/>
      <c r="BR570" s="106"/>
      <c r="BS570" s="365"/>
      <c r="BT570" s="128" t="s">
        <v>410</v>
      </c>
      <c r="BU570" s="128"/>
      <c r="BV570" s="128"/>
      <c r="BW570" s="128"/>
      <c r="BX570" s="128"/>
      <c r="BY570" s="128"/>
      <c r="BZ570" s="128"/>
      <c r="CA570" s="365"/>
      <c r="CB570" s="365"/>
      <c r="CC570" s="365"/>
      <c r="CD570" s="365"/>
      <c r="CE570" s="365"/>
      <c r="CF570" s="365"/>
      <c r="CG570" s="365"/>
      <c r="CH570" s="365"/>
      <c r="CI570" s="365"/>
      <c r="CJ570" s="365"/>
      <c r="CK570" s="365"/>
      <c r="CL570" s="365"/>
      <c r="CM570" s="365"/>
      <c r="CN570" s="365"/>
      <c r="CO570" s="367"/>
    </row>
    <row r="571" spans="1:93" s="196" customFormat="1" ht="14.5" x14ac:dyDescent="0.35">
      <c r="A571" s="299"/>
      <c r="B571" s="299"/>
      <c r="C571" s="213" t="s">
        <v>344</v>
      </c>
      <c r="D571" s="299"/>
      <c r="E571" s="299"/>
      <c r="F571" s="40"/>
      <c r="G571" s="299"/>
      <c r="H571" s="299"/>
      <c r="I571" s="299"/>
      <c r="J571" s="299"/>
      <c r="K571" s="299" t="s">
        <v>0</v>
      </c>
      <c r="L571" s="692">
        <f>AVERAGE(G110,AD111)</f>
        <v>0.47500000000000003</v>
      </c>
      <c r="M571" s="692"/>
      <c r="N571" s="692"/>
      <c r="O571" s="299" t="s">
        <v>21</v>
      </c>
      <c r="P571" s="693">
        <f>AC457</f>
        <v>25</v>
      </c>
      <c r="Q571" s="704"/>
      <c r="R571" s="305" t="s">
        <v>21</v>
      </c>
      <c r="S571" s="686">
        <f>J230</f>
        <v>1.35</v>
      </c>
      <c r="T571" s="686"/>
      <c r="U571" s="325"/>
      <c r="V571" s="325"/>
      <c r="W571" s="307"/>
      <c r="X571" s="307"/>
      <c r="Y571" s="307"/>
      <c r="Z571" s="307"/>
      <c r="AA571" s="307"/>
      <c r="AB571" s="307"/>
      <c r="AC571" s="307"/>
      <c r="AD571" s="307"/>
      <c r="AE571" s="697">
        <f>AE252</f>
        <v>97.104557483157791</v>
      </c>
      <c r="AF571" s="697"/>
      <c r="AG571" s="697"/>
      <c r="AH571" s="283"/>
      <c r="AI571" s="284"/>
      <c r="AJ571" s="284"/>
      <c r="AK571" s="283"/>
      <c r="AL571" s="283"/>
      <c r="AM571" s="285"/>
      <c r="AN571" s="285"/>
      <c r="AO571" s="291" t="s">
        <v>10</v>
      </c>
      <c r="AP571" s="286"/>
      <c r="AQ571" s="283"/>
      <c r="AS571" s="125"/>
      <c r="AT571" s="373"/>
      <c r="AU571" s="373"/>
      <c r="AV571" s="373"/>
      <c r="AW571" s="373"/>
      <c r="AX571" s="373"/>
      <c r="AY571" s="373"/>
      <c r="AZ571" s="373"/>
      <c r="BA571" s="373"/>
      <c r="BB571" s="125"/>
      <c r="BC571" s="383"/>
      <c r="BD571" s="383"/>
      <c r="BE571" s="383"/>
      <c r="BF571" s="383"/>
      <c r="BG571" s="383"/>
      <c r="BH571" s="383"/>
      <c r="BI571" s="383"/>
      <c r="BJ571" s="383"/>
      <c r="BK571" s="373"/>
      <c r="BL571" s="373"/>
      <c r="BM571" s="373"/>
      <c r="BN571" s="373"/>
      <c r="BO571" s="373"/>
      <c r="BP571" s="124"/>
      <c r="BQ571" s="372"/>
      <c r="BR571" s="125"/>
      <c r="BS571" s="373"/>
      <c r="BT571" s="373"/>
      <c r="BU571" s="373"/>
      <c r="BV571" s="373"/>
      <c r="BW571" s="373"/>
      <c r="BX571" s="373"/>
      <c r="BY571" s="373"/>
      <c r="BZ571" s="373"/>
      <c r="CA571" s="373"/>
      <c r="CB571" s="373"/>
      <c r="CC571" s="373"/>
      <c r="CD571" s="373"/>
      <c r="CE571" s="373"/>
      <c r="CF571" s="373"/>
      <c r="CG571" s="373"/>
      <c r="CH571" s="373"/>
      <c r="CI571" s="373"/>
      <c r="CJ571" s="373"/>
      <c r="CK571" s="373"/>
      <c r="CL571" s="373"/>
      <c r="CM571" s="373"/>
      <c r="CN571" s="373"/>
      <c r="CO571" s="124"/>
    </row>
    <row r="572" spans="1:93" s="196" customFormat="1" ht="14.5" x14ac:dyDescent="0.35">
      <c r="A572" s="299"/>
      <c r="B572" s="299"/>
      <c r="C572" s="299"/>
      <c r="D572" s="299"/>
      <c r="E572" s="299"/>
      <c r="F572" s="40"/>
      <c r="G572" s="299"/>
      <c r="H572" s="299"/>
      <c r="I572" s="299"/>
      <c r="J572" s="299"/>
      <c r="K572" s="299" t="s">
        <v>0</v>
      </c>
      <c r="L572" s="692">
        <f>L571*P571*S571</f>
        <v>16.03125</v>
      </c>
      <c r="M572" s="692"/>
      <c r="N572" s="692"/>
      <c r="O572" s="213" t="s">
        <v>10</v>
      </c>
      <c r="P572" s="299"/>
      <c r="Q572" s="299"/>
      <c r="R572" s="299"/>
      <c r="S572" s="299"/>
      <c r="T572" s="299"/>
      <c r="U572" s="299"/>
      <c r="W572" s="307"/>
      <c r="X572" s="728">
        <f>L572</f>
        <v>16.03125</v>
      </c>
      <c r="Y572" s="728"/>
      <c r="Z572" s="728"/>
      <c r="AA572" s="291" t="s">
        <v>10</v>
      </c>
      <c r="AB572" s="326"/>
      <c r="AD572" s="307"/>
      <c r="AE572" s="291" t="s">
        <v>10</v>
      </c>
      <c r="AF572" s="283"/>
      <c r="AG572" s="283"/>
      <c r="AH572" s="283"/>
      <c r="AI572" s="284"/>
      <c r="AJ572" s="284"/>
      <c r="AK572" s="283"/>
      <c r="AL572" s="283"/>
      <c r="AM572" s="285"/>
      <c r="AN572" s="285"/>
      <c r="AO572" s="283"/>
      <c r="AP572" s="286"/>
      <c r="AQ572" s="283"/>
      <c r="AS572" s="390" t="s">
        <v>423</v>
      </c>
      <c r="AT572" s="383"/>
      <c r="AU572" s="692">
        <f>L571*P571*P230</f>
        <v>11.875</v>
      </c>
      <c r="AV572" s="692"/>
      <c r="AW572" s="692"/>
      <c r="AX572" s="325"/>
      <c r="AY572" s="325"/>
      <c r="AZ572" s="325"/>
      <c r="BA572" s="325"/>
      <c r="BB572" s="390" t="s">
        <v>423</v>
      </c>
      <c r="BC572" s="383"/>
      <c r="BD572" s="692">
        <f>L571*P571*V230</f>
        <v>11.875</v>
      </c>
      <c r="BE572" s="692"/>
      <c r="BF572" s="692"/>
      <c r="BG572" s="325"/>
      <c r="BH572" s="325"/>
      <c r="BI572" s="325"/>
      <c r="BJ572" s="325"/>
      <c r="BK572" s="383"/>
      <c r="BL572" s="383"/>
      <c r="BM572" s="383"/>
      <c r="BN572" s="383"/>
      <c r="BO572" s="383"/>
      <c r="BP572" s="124"/>
      <c r="BQ572" s="384"/>
      <c r="BR572" s="390"/>
      <c r="BS572" s="383"/>
      <c r="BT572" s="325"/>
      <c r="BU572" s="325"/>
      <c r="BV572" s="325"/>
      <c r="BW572" s="325"/>
      <c r="BX572" s="325"/>
      <c r="BY572" s="325"/>
      <c r="BZ572" s="325"/>
      <c r="CA572" s="383"/>
      <c r="CB572" s="383"/>
      <c r="CC572" s="383"/>
      <c r="CD572" s="383"/>
      <c r="CE572" s="383"/>
      <c r="CF572" s="383"/>
      <c r="CG572" s="383"/>
      <c r="CH572" s="383"/>
      <c r="CI572" s="383"/>
      <c r="CJ572" s="383"/>
      <c r="CK572" s="383"/>
      <c r="CL572" s="383"/>
      <c r="CM572" s="383"/>
      <c r="CN572" s="373"/>
      <c r="CO572" s="124"/>
    </row>
    <row r="573" spans="1:93" s="305" customFormat="1" ht="26.25" customHeight="1" x14ac:dyDescent="0.3">
      <c r="A573" s="299"/>
      <c r="B573" s="299"/>
      <c r="K573" s="307"/>
      <c r="M573" s="287"/>
      <c r="O573" s="300"/>
      <c r="P573" s="298"/>
      <c r="Q573" s="298"/>
      <c r="W573" s="920" t="s">
        <v>486</v>
      </c>
      <c r="X573" s="920"/>
      <c r="Y573" s="920"/>
      <c r="Z573" s="920"/>
      <c r="AA573" s="920"/>
      <c r="AB573" s="920"/>
      <c r="AC573" s="920"/>
      <c r="AD573" s="920"/>
      <c r="AH573" s="920" t="s">
        <v>487</v>
      </c>
      <c r="AI573" s="920"/>
      <c r="AJ573" s="920"/>
      <c r="AK573" s="920"/>
      <c r="AL573" s="920"/>
      <c r="AM573" s="920"/>
      <c r="AN573" s="920"/>
      <c r="AS573" s="390" t="s">
        <v>69</v>
      </c>
      <c r="AT573" s="383"/>
      <c r="AU573" s="692">
        <f>AS563-AU572</f>
        <v>56.475590405438467</v>
      </c>
      <c r="AV573" s="692"/>
      <c r="AW573" s="692"/>
      <c r="AX573" s="325"/>
      <c r="AY573" s="325"/>
      <c r="AZ573" s="325"/>
      <c r="BA573" s="325"/>
      <c r="BB573" s="390" t="s">
        <v>69</v>
      </c>
      <c r="BC573" s="383"/>
      <c r="BD573" s="692">
        <f>BG563-BD572</f>
        <v>52.453989274332315</v>
      </c>
      <c r="BE573" s="692"/>
      <c r="BF573" s="692"/>
      <c r="BG573" s="325"/>
      <c r="BH573" s="325"/>
      <c r="BI573" s="325"/>
      <c r="BJ573" s="325"/>
      <c r="BK573" s="383"/>
      <c r="BL573" s="383"/>
      <c r="BM573" s="383"/>
      <c r="BN573" s="383"/>
      <c r="BO573" s="383"/>
      <c r="BP573" s="124"/>
      <c r="BQ573" s="384"/>
      <c r="BR573" s="390"/>
      <c r="BS573" s="383"/>
      <c r="BT573" s="384"/>
      <c r="BU573" s="325"/>
      <c r="BV573" s="325"/>
      <c r="BW573" s="325"/>
      <c r="BX573" s="325"/>
      <c r="BY573" s="325"/>
      <c r="BZ573" s="325"/>
      <c r="CA573" s="383"/>
      <c r="CB573" s="383"/>
      <c r="CC573" s="383"/>
      <c r="CD573" s="383"/>
      <c r="CE573" s="383"/>
      <c r="CF573" s="383"/>
      <c r="CG573" s="383"/>
      <c r="CH573" s="383"/>
      <c r="CI573" s="383"/>
      <c r="CJ573" s="383"/>
      <c r="CK573" s="383"/>
      <c r="CL573" s="383"/>
      <c r="CM573" s="383"/>
      <c r="CN573" s="373"/>
      <c r="CO573" s="124"/>
    </row>
    <row r="574" spans="1:93" s="305" customFormat="1" ht="14.5" x14ac:dyDescent="0.35">
      <c r="A574" s="299"/>
      <c r="B574" s="299"/>
      <c r="C574" s="140" t="s">
        <v>347</v>
      </c>
      <c r="K574" s="232" t="s">
        <v>0</v>
      </c>
      <c r="L574" s="660">
        <f>AE571</f>
        <v>97.104557483157791</v>
      </c>
      <c r="M574" s="791"/>
      <c r="N574" s="791"/>
      <c r="O574" s="92" t="s">
        <v>23</v>
      </c>
      <c r="P574" s="734">
        <f>L572</f>
        <v>16.03125</v>
      </c>
      <c r="Q574" s="792"/>
      <c r="R574" s="792"/>
      <c r="S574" s="307"/>
      <c r="T574" s="232" t="s">
        <v>0</v>
      </c>
      <c r="U574" s="793">
        <f>L574-P574</f>
        <v>81.073307483157791</v>
      </c>
      <c r="V574" s="793"/>
      <c r="W574" s="793"/>
      <c r="X574" s="74" t="s">
        <v>10</v>
      </c>
      <c r="AD574" s="292"/>
      <c r="AH574" s="284"/>
      <c r="AI574" s="284"/>
      <c r="AJ574" s="283"/>
      <c r="AK574" s="283"/>
      <c r="AL574" s="285"/>
      <c r="AM574" s="285"/>
      <c r="AN574" s="283"/>
      <c r="AO574" s="283"/>
      <c r="AP574" s="283"/>
      <c r="AS574" s="390" t="s">
        <v>70</v>
      </c>
      <c r="AT574" s="383"/>
      <c r="AU574" s="692">
        <f>BC562-AU572</f>
        <v>59.109248588631871</v>
      </c>
      <c r="AV574" s="692"/>
      <c r="AW574" s="692"/>
      <c r="AX574" s="325"/>
      <c r="AY574" s="325"/>
      <c r="AZ574" s="325"/>
      <c r="BA574" s="325"/>
      <c r="BB574" s="390" t="s">
        <v>70</v>
      </c>
      <c r="BC574" s="383"/>
      <c r="BD574" s="692">
        <f>BQ562-BD572</f>
        <v>56.495207853412879</v>
      </c>
      <c r="BE574" s="692"/>
      <c r="BF574" s="692"/>
      <c r="BG574" s="325"/>
      <c r="BH574" s="325"/>
      <c r="BI574" s="325"/>
      <c r="BJ574" s="325"/>
      <c r="BK574" s="383"/>
      <c r="BL574" s="383"/>
      <c r="BM574" s="383"/>
      <c r="BN574" s="383"/>
      <c r="BO574" s="383"/>
      <c r="BP574" s="124"/>
      <c r="BQ574" s="384"/>
      <c r="BR574" s="390"/>
      <c r="BS574" s="383"/>
      <c r="BT574" s="384"/>
      <c r="BU574" s="325"/>
      <c r="BV574" s="325"/>
      <c r="BW574" s="325"/>
      <c r="BX574" s="325"/>
      <c r="BY574" s="325"/>
      <c r="BZ574" s="325"/>
      <c r="CA574" s="383"/>
      <c r="CB574" s="383"/>
      <c r="CC574" s="383"/>
      <c r="CD574" s="383"/>
      <c r="CE574" s="383"/>
      <c r="CF574" s="383"/>
      <c r="CG574" s="383"/>
      <c r="CH574" s="383"/>
      <c r="CI574" s="383"/>
      <c r="CJ574" s="383"/>
      <c r="CK574" s="383"/>
      <c r="CL574" s="383"/>
      <c r="CM574" s="383"/>
      <c r="CN574" s="373"/>
      <c r="CO574" s="124"/>
    </row>
    <row r="575" spans="1:93" s="305" customFormat="1" ht="16" x14ac:dyDescent="0.35">
      <c r="A575" s="299"/>
      <c r="B575" s="299"/>
      <c r="C575" s="288" t="s">
        <v>348</v>
      </c>
      <c r="K575" s="232"/>
      <c r="L575" s="327"/>
      <c r="M575" s="97"/>
      <c r="N575" s="97"/>
      <c r="O575" s="92"/>
      <c r="P575" s="290"/>
      <c r="Q575" s="232"/>
      <c r="R575" s="232"/>
      <c r="S575" s="289"/>
      <c r="T575" s="232"/>
      <c r="U575" s="177"/>
      <c r="V575" s="177"/>
      <c r="W575" s="177"/>
      <c r="X575" s="288"/>
      <c r="Y575" s="299"/>
      <c r="Z575" s="299"/>
      <c r="AA575" s="299"/>
      <c r="AB575" s="299"/>
      <c r="AC575" s="299"/>
      <c r="AD575" s="283"/>
      <c r="AE575" s="283"/>
      <c r="AF575" s="283"/>
      <c r="AG575" s="283"/>
      <c r="AH575" s="284"/>
      <c r="AI575" s="284"/>
      <c r="AJ575" s="283"/>
      <c r="AK575" s="283"/>
      <c r="AL575" s="283"/>
      <c r="AM575" s="283"/>
      <c r="AN575" s="697">
        <f>U577</f>
        <v>85.832704914197876</v>
      </c>
      <c r="AO575" s="697"/>
      <c r="AP575" s="697"/>
      <c r="AS575" s="125" t="s">
        <v>404</v>
      </c>
      <c r="AT575" s="325"/>
      <c r="AU575" s="692">
        <f>L580*(AU573+AU574)*W580</f>
        <v>40.454693647924614</v>
      </c>
      <c r="AV575" s="692"/>
      <c r="AW575" s="692"/>
      <c r="AX575" s="325"/>
      <c r="AY575" s="325"/>
      <c r="AZ575" s="325"/>
      <c r="BA575" s="405"/>
      <c r="BB575" s="125" t="s">
        <v>404</v>
      </c>
      <c r="BC575" s="325"/>
      <c r="BD575" s="693">
        <f>L580*(BD573+BD574)*W580</f>
        <v>38.132218994710819</v>
      </c>
      <c r="BE575" s="693"/>
      <c r="BF575" s="693"/>
      <c r="BG575" s="325"/>
      <c r="BH575" s="325"/>
      <c r="BI575" s="325"/>
      <c r="BJ575" s="405"/>
      <c r="BK575" s="154"/>
      <c r="BL575" s="154"/>
      <c r="BM575" s="154"/>
      <c r="BN575" s="154"/>
      <c r="BO575" s="383"/>
      <c r="BP575" s="124"/>
      <c r="BQ575" s="384"/>
      <c r="BR575" s="125"/>
      <c r="BS575" s="325"/>
      <c r="BT575" s="154"/>
      <c r="BU575" s="154"/>
      <c r="BV575" s="154"/>
      <c r="BW575" s="325"/>
      <c r="BX575" s="325"/>
      <c r="BY575" s="325"/>
      <c r="BZ575" s="405"/>
      <c r="CA575" s="405"/>
      <c r="CB575" s="325"/>
      <c r="CC575" s="325"/>
      <c r="CD575" s="325"/>
      <c r="CE575" s="325"/>
      <c r="CF575" s="325"/>
      <c r="CG575" s="325"/>
      <c r="CH575" s="325"/>
      <c r="CI575" s="383"/>
      <c r="CJ575" s="154"/>
      <c r="CK575" s="154"/>
      <c r="CL575" s="154"/>
      <c r="CM575" s="154"/>
      <c r="CN575" s="373"/>
      <c r="CO575" s="124"/>
    </row>
    <row r="576" spans="1:93" s="305" customFormat="1" ht="14.5" x14ac:dyDescent="0.35">
      <c r="A576" s="299"/>
      <c r="B576" s="299"/>
      <c r="K576" s="307"/>
      <c r="L576" s="290"/>
      <c r="M576" s="232"/>
      <c r="N576" s="232"/>
      <c r="O576" s="232"/>
      <c r="P576" s="293"/>
      <c r="Q576" s="293"/>
      <c r="R576" s="293"/>
      <c r="S576" s="140"/>
      <c r="T576" s="140"/>
      <c r="U576" s="140"/>
      <c r="V576" s="140"/>
      <c r="W576" s="140"/>
      <c r="X576" s="140"/>
      <c r="Y576" s="299"/>
      <c r="Z576" s="299"/>
      <c r="AA576" s="299"/>
      <c r="AB576" s="299"/>
      <c r="AC576" s="299"/>
      <c r="AD576" s="697">
        <f>U574</f>
        <v>81.073307483157791</v>
      </c>
      <c r="AE576" s="697"/>
      <c r="AF576" s="697"/>
      <c r="AG576" s="283"/>
      <c r="AH576" s="284"/>
      <c r="AI576" s="284"/>
      <c r="AJ576" s="283"/>
      <c r="AK576" s="283"/>
      <c r="AL576" s="285"/>
      <c r="AM576" s="285"/>
      <c r="AN576" s="291" t="s">
        <v>10</v>
      </c>
      <c r="AO576" s="286"/>
      <c r="AP576" s="283"/>
      <c r="AS576" s="125" t="s">
        <v>425</v>
      </c>
      <c r="AT576" s="325"/>
      <c r="AU576" s="692">
        <f>((AU574+2*AU573)/(AU574+AU573))*(V583/3)</f>
        <v>0.34734169183392355</v>
      </c>
      <c r="AV576" s="692"/>
      <c r="AW576" s="692"/>
      <c r="AX576" s="325"/>
      <c r="AY576" s="325"/>
      <c r="AZ576" s="325"/>
      <c r="BA576" s="405"/>
      <c r="BB576" s="125" t="s">
        <v>425</v>
      </c>
      <c r="BC576" s="325"/>
      <c r="BD576" s="692">
        <f>((BD574+2*BD573)/(BD574+BD573))*(V583/3)</f>
        <v>0.34567251973100888</v>
      </c>
      <c r="BE576" s="692"/>
      <c r="BF576" s="692"/>
      <c r="BG576" s="325"/>
      <c r="BH576" s="325"/>
      <c r="BI576" s="325"/>
      <c r="BJ576" s="405"/>
      <c r="BK576" s="154"/>
      <c r="BL576" s="154"/>
      <c r="BM576" s="154"/>
      <c r="BN576" s="154"/>
      <c r="BO576" s="383"/>
      <c r="BP576" s="124"/>
      <c r="BQ576" s="384"/>
      <c r="BR576" s="125"/>
      <c r="BS576" s="325"/>
      <c r="BT576" s="154"/>
      <c r="BU576" s="154"/>
      <c r="BV576" s="154"/>
      <c r="BW576" s="325"/>
      <c r="BX576" s="325"/>
      <c r="BY576" s="325"/>
      <c r="BZ576" s="405"/>
      <c r="CA576" s="405"/>
      <c r="CB576" s="325"/>
      <c r="CC576" s="325"/>
      <c r="CD576" s="325"/>
      <c r="CE576" s="325"/>
      <c r="CF576" s="325"/>
      <c r="CG576" s="325"/>
      <c r="CH576" s="325"/>
      <c r="CI576" s="383"/>
      <c r="CJ576" s="154"/>
      <c r="CK576" s="154"/>
      <c r="CL576" s="154"/>
      <c r="CM576" s="154"/>
      <c r="CN576" s="373"/>
      <c r="CO576" s="124"/>
    </row>
    <row r="577" spans="1:93" s="305" customFormat="1" ht="14.5" x14ac:dyDescent="0.35">
      <c r="A577" s="299"/>
      <c r="B577" s="299"/>
      <c r="C577" s="140" t="s">
        <v>347</v>
      </c>
      <c r="K577" s="232" t="s">
        <v>0</v>
      </c>
      <c r="L577" s="660">
        <f>AO570</f>
        <v>101.86395491419788</v>
      </c>
      <c r="M577" s="791"/>
      <c r="N577" s="791"/>
      <c r="O577" s="92" t="s">
        <v>23</v>
      </c>
      <c r="P577" s="734">
        <f>X572</f>
        <v>16.03125</v>
      </c>
      <c r="Q577" s="792"/>
      <c r="R577" s="792"/>
      <c r="S577" s="307"/>
      <c r="T577" s="232" t="s">
        <v>0</v>
      </c>
      <c r="U577" s="793">
        <f>L577-P577</f>
        <v>85.832704914197876</v>
      </c>
      <c r="V577" s="793"/>
      <c r="W577" s="793"/>
      <c r="X577" s="74" t="s">
        <v>10</v>
      </c>
      <c r="AD577" s="291" t="s">
        <v>10</v>
      </c>
      <c r="AE577" s="283"/>
      <c r="AF577" s="283"/>
      <c r="AG577" s="283"/>
      <c r="AH577" s="284"/>
      <c r="AI577" s="284"/>
      <c r="AJ577" s="283"/>
      <c r="AK577" s="283"/>
      <c r="AL577" s="285"/>
      <c r="AM577" s="285"/>
      <c r="AN577" s="283"/>
      <c r="AO577" s="286"/>
      <c r="AP577" s="283"/>
      <c r="AS577" s="125" t="s">
        <v>405</v>
      </c>
      <c r="AT577" s="383"/>
      <c r="AU577" s="692">
        <f>AU575*AU576</f>
        <v>14.051601734293216</v>
      </c>
      <c r="AV577" s="692"/>
      <c r="AW577" s="692"/>
      <c r="AX577" s="383"/>
      <c r="AY577" s="383"/>
      <c r="AZ577" s="383"/>
      <c r="BA577" s="383"/>
      <c r="BB577" s="125" t="s">
        <v>405</v>
      </c>
      <c r="BC577" s="383"/>
      <c r="BD577" s="692">
        <f>BD575*BD576</f>
        <v>13.181260222836327</v>
      </c>
      <c r="BE577" s="692"/>
      <c r="BF577" s="692"/>
      <c r="BG577" s="383"/>
      <c r="BH577" s="383"/>
      <c r="BI577" s="383"/>
      <c r="BJ577" s="383"/>
      <c r="BK577" s="383"/>
      <c r="BL577" s="383"/>
      <c r="BM577" s="383"/>
      <c r="BN577" s="383"/>
      <c r="BO577" s="383"/>
      <c r="BP577" s="124"/>
      <c r="BQ577" s="384"/>
      <c r="BR577" s="125"/>
      <c r="BS577" s="383"/>
      <c r="BT577" s="325"/>
      <c r="BU577" s="154"/>
      <c r="BV577" s="154"/>
      <c r="BW577" s="383"/>
      <c r="BX577" s="383"/>
      <c r="BY577" s="383"/>
      <c r="BZ577" s="383"/>
      <c r="CA577" s="383"/>
      <c r="CB577" s="383"/>
      <c r="CC577" s="383"/>
      <c r="CD577" s="383"/>
      <c r="CE577" s="383"/>
      <c r="CF577" s="383"/>
      <c r="CG577" s="383"/>
      <c r="CH577" s="383"/>
      <c r="CI577" s="383"/>
      <c r="CJ577" s="383"/>
      <c r="CK577" s="383"/>
      <c r="CL577" s="383"/>
      <c r="CM577" s="383"/>
      <c r="CN577" s="373"/>
      <c r="CO577" s="124"/>
    </row>
    <row r="578" spans="1:93" s="305" customFormat="1" ht="15.5" x14ac:dyDescent="0.3">
      <c r="A578" s="299"/>
      <c r="B578" s="299"/>
      <c r="C578" s="288" t="s">
        <v>349</v>
      </c>
      <c r="K578" s="232"/>
      <c r="L578" s="327"/>
      <c r="M578" s="97"/>
      <c r="N578" s="97"/>
      <c r="O578" s="92"/>
      <c r="P578" s="290"/>
      <c r="Q578" s="232"/>
      <c r="R578" s="232"/>
      <c r="S578" s="289"/>
      <c r="T578" s="232"/>
      <c r="U578" s="177"/>
      <c r="V578" s="177"/>
      <c r="W578" s="177"/>
      <c r="X578" s="288"/>
      <c r="AH578" s="398" t="s">
        <v>488</v>
      </c>
      <c r="AS578" s="126"/>
      <c r="AT578" s="380"/>
      <c r="AU578" s="393"/>
      <c r="AV578" s="123"/>
      <c r="AW578" s="123"/>
      <c r="AX578" s="123"/>
      <c r="AY578" s="380"/>
      <c r="AZ578" s="380"/>
      <c r="BA578" s="380"/>
      <c r="BB578" s="126"/>
      <c r="BC578" s="380"/>
      <c r="BD578" s="393"/>
      <c r="BE578" s="123"/>
      <c r="BF578" s="123"/>
      <c r="BG578" s="123"/>
      <c r="BH578" s="380"/>
      <c r="BI578" s="380"/>
      <c r="BJ578" s="380"/>
      <c r="BK578" s="380"/>
      <c r="BL578" s="380"/>
      <c r="BM578" s="380"/>
      <c r="BN578" s="380"/>
      <c r="BO578" s="380"/>
      <c r="BP578" s="382"/>
      <c r="BQ578" s="384"/>
      <c r="BR578" s="126"/>
      <c r="BS578" s="380"/>
      <c r="BT578" s="393"/>
      <c r="BU578" s="123"/>
      <c r="BV578" s="123"/>
      <c r="BW578" s="123"/>
      <c r="BX578" s="380"/>
      <c r="BY578" s="380"/>
      <c r="BZ578" s="380"/>
      <c r="CA578" s="380"/>
      <c r="CB578" s="380"/>
      <c r="CC578" s="380"/>
      <c r="CD578" s="380"/>
      <c r="CE578" s="380"/>
      <c r="CF578" s="380"/>
      <c r="CG578" s="380"/>
      <c r="CH578" s="380"/>
      <c r="CI578" s="380"/>
      <c r="CJ578" s="380"/>
      <c r="CK578" s="380"/>
      <c r="CL578" s="380"/>
      <c r="CM578" s="380"/>
      <c r="CN578" s="366"/>
      <c r="CO578" s="368"/>
    </row>
    <row r="579" spans="1:93" s="305" customFormat="1" x14ac:dyDescent="0.35">
      <c r="A579" s="299"/>
      <c r="B579" s="299"/>
      <c r="C579" s="299"/>
      <c r="F579" s="37"/>
    </row>
    <row r="580" spans="1:93" s="305" customFormat="1" x14ac:dyDescent="0.3">
      <c r="A580" s="299"/>
      <c r="B580" s="299"/>
      <c r="C580" s="140" t="s">
        <v>341</v>
      </c>
      <c r="D580" s="282"/>
      <c r="E580" s="282"/>
      <c r="F580" s="282"/>
      <c r="G580" s="232"/>
      <c r="H580" s="307"/>
      <c r="I580" s="307"/>
      <c r="J580" s="307"/>
      <c r="K580" s="232" t="s">
        <v>0</v>
      </c>
      <c r="L580" s="660">
        <v>0.5</v>
      </c>
      <c r="M580" s="660"/>
      <c r="N580" s="97" t="s">
        <v>416</v>
      </c>
      <c r="O580" s="806">
        <f>U574</f>
        <v>81.073307483157791</v>
      </c>
      <c r="P580" s="807"/>
      <c r="Q580" s="807"/>
      <c r="R580" s="232" t="s">
        <v>25</v>
      </c>
      <c r="S580" s="808">
        <f>U577</f>
        <v>85.832704914197876</v>
      </c>
      <c r="T580" s="808"/>
      <c r="U580" s="808"/>
      <c r="V580" s="177" t="s">
        <v>417</v>
      </c>
      <c r="W580" s="808">
        <f>P113</f>
        <v>0.7</v>
      </c>
      <c r="X580" s="808"/>
      <c r="Y580" s="232"/>
      <c r="Z580" s="307"/>
      <c r="AA580" s="403"/>
      <c r="AB580" s="404"/>
      <c r="AC580" s="404"/>
    </row>
    <row r="581" spans="1:93" s="305" customFormat="1" x14ac:dyDescent="0.3">
      <c r="A581" s="299"/>
      <c r="B581" s="299"/>
      <c r="C581" s="295"/>
      <c r="D581" s="307"/>
      <c r="E581" s="307"/>
      <c r="F581" s="307"/>
      <c r="G581" s="307"/>
      <c r="H581" s="307"/>
      <c r="I581" s="307"/>
      <c r="J581" s="307"/>
      <c r="K581" s="232" t="s">
        <v>0</v>
      </c>
      <c r="L581" s="790">
        <f>L580*(O580+S580)*W580</f>
        <v>58.417104339074477</v>
      </c>
      <c r="M581" s="790"/>
      <c r="N581" s="790"/>
      <c r="O581" s="790"/>
      <c r="P581" s="307" t="s">
        <v>12</v>
      </c>
      <c r="R581" s="307"/>
      <c r="S581" s="307"/>
      <c r="T581" s="307"/>
      <c r="U581" s="307"/>
      <c r="V581" s="307"/>
      <c r="W581" s="307"/>
      <c r="X581" s="307"/>
      <c r="Y581" s="307"/>
      <c r="Z581" s="307"/>
      <c r="AA581" s="307"/>
      <c r="AB581" s="307"/>
      <c r="AC581" s="307"/>
    </row>
    <row r="582" spans="1:93" s="384" customFormat="1" x14ac:dyDescent="0.3">
      <c r="A582" s="383"/>
      <c r="B582" s="383"/>
      <c r="C582" s="386"/>
      <c r="D582" s="389"/>
      <c r="E582" s="389"/>
      <c r="F582" s="389"/>
      <c r="G582" s="389"/>
      <c r="H582" s="389"/>
      <c r="I582" s="389"/>
      <c r="J582" s="389"/>
      <c r="K582" s="232"/>
      <c r="L582" s="385"/>
      <c r="M582" s="385"/>
      <c r="N582" s="385"/>
      <c r="O582" s="385"/>
      <c r="P582" s="389"/>
      <c r="R582" s="389"/>
      <c r="S582" s="389"/>
      <c r="T582" s="389"/>
      <c r="U582" s="389"/>
      <c r="V582" s="389"/>
      <c r="W582" s="389"/>
      <c r="X582" s="389"/>
      <c r="Y582" s="389"/>
      <c r="Z582" s="389"/>
      <c r="AA582" s="389"/>
      <c r="AB582" s="389"/>
      <c r="AC582" s="389"/>
    </row>
    <row r="583" spans="1:93" s="384" customFormat="1" x14ac:dyDescent="0.3">
      <c r="A583" s="383"/>
      <c r="B583" s="383"/>
      <c r="C583" s="213" t="s">
        <v>418</v>
      </c>
      <c r="D583" s="383"/>
      <c r="E583" s="383"/>
      <c r="F583" s="40"/>
      <c r="G583" s="383"/>
      <c r="H583" s="383"/>
      <c r="I583" s="383"/>
      <c r="J583" s="383"/>
      <c r="K583" s="383" t="s">
        <v>0</v>
      </c>
      <c r="L583" s="708">
        <f>U577</f>
        <v>85.832704914197876</v>
      </c>
      <c r="M583" s="672"/>
      <c r="N583" s="672"/>
      <c r="O583" s="380" t="s">
        <v>25</v>
      </c>
      <c r="P583" s="380">
        <v>2</v>
      </c>
      <c r="Q583" s="380" t="s">
        <v>21</v>
      </c>
      <c r="R583" s="708">
        <f>U574</f>
        <v>81.073307483157791</v>
      </c>
      <c r="S583" s="672"/>
      <c r="T583" s="672"/>
      <c r="U583" s="383" t="s">
        <v>21</v>
      </c>
      <c r="V583" s="708">
        <f>W580</f>
        <v>0.7</v>
      </c>
      <c r="W583" s="672"/>
      <c r="X583" s="383"/>
      <c r="Y583" s="383"/>
      <c r="Z583" s="389"/>
      <c r="AA583" s="389"/>
      <c r="AB583" s="389"/>
      <c r="AC583" s="389"/>
    </row>
    <row r="584" spans="1:93" s="384" customFormat="1" x14ac:dyDescent="0.3">
      <c r="A584" s="383"/>
      <c r="B584" s="383"/>
      <c r="C584" s="140" t="s">
        <v>419</v>
      </c>
      <c r="D584" s="282"/>
      <c r="E584" s="282"/>
      <c r="F584" s="282"/>
      <c r="G584" s="232"/>
      <c r="H584" s="389"/>
      <c r="I584" s="389"/>
      <c r="J584" s="389"/>
      <c r="K584" s="232"/>
      <c r="L584" s="692">
        <f>L583</f>
        <v>85.832704914197876</v>
      </c>
      <c r="M584" s="704"/>
      <c r="N584" s="704"/>
      <c r="O584" s="92"/>
      <c r="P584" s="290" t="s">
        <v>25</v>
      </c>
      <c r="Q584" s="232"/>
      <c r="R584" s="692">
        <f>R583</f>
        <v>81.073307483157791</v>
      </c>
      <c r="S584" s="704"/>
      <c r="T584" s="704"/>
      <c r="U584" s="140"/>
      <c r="V584" s="919">
        <v>3</v>
      </c>
      <c r="W584" s="919"/>
      <c r="X584" s="232"/>
      <c r="Y584" s="232"/>
      <c r="Z584" s="389"/>
      <c r="AA584" s="389"/>
      <c r="AB584" s="389"/>
      <c r="AC584" s="389"/>
    </row>
    <row r="585" spans="1:93" s="384" customFormat="1" x14ac:dyDescent="0.3">
      <c r="A585" s="383"/>
      <c r="B585" s="383"/>
      <c r="C585" s="386"/>
      <c r="D585" s="389"/>
      <c r="E585" s="389"/>
      <c r="F585" s="389"/>
      <c r="G585" s="389"/>
      <c r="H585" s="389"/>
      <c r="I585" s="389"/>
      <c r="J585" s="389"/>
      <c r="K585" s="232" t="s">
        <v>0</v>
      </c>
      <c r="L585" s="808">
        <f>((L583+2*R583)/(L584+R584))*(V583/3)</f>
        <v>0.3466731993314931</v>
      </c>
      <c r="M585" s="808"/>
      <c r="N585" s="808"/>
      <c r="O585" s="282" t="s">
        <v>1</v>
      </c>
      <c r="P585" s="389"/>
      <c r="Q585" s="383"/>
      <c r="R585" s="389"/>
      <c r="S585" s="389"/>
      <c r="T585" s="389"/>
      <c r="U585" s="389"/>
      <c r="V585" s="389"/>
      <c r="W585" s="389"/>
      <c r="X585" s="389"/>
      <c r="Y585" s="389"/>
      <c r="Z585" s="389"/>
      <c r="AA585" s="389"/>
      <c r="AB585" s="389"/>
      <c r="AC585" s="389"/>
    </row>
    <row r="586" spans="1:93" s="384" customFormat="1" x14ac:dyDescent="0.3">
      <c r="A586" s="383"/>
      <c r="B586" s="383"/>
      <c r="C586" s="386"/>
      <c r="D586" s="389"/>
      <c r="E586" s="389"/>
      <c r="F586" s="389"/>
      <c r="G586" s="389"/>
      <c r="H586" s="389"/>
      <c r="I586" s="389"/>
      <c r="J586" s="389"/>
      <c r="K586" s="232"/>
      <c r="L586" s="385"/>
      <c r="M586" s="385"/>
      <c r="N586" s="385"/>
      <c r="O586" s="385"/>
      <c r="P586" s="389"/>
      <c r="R586" s="389"/>
      <c r="S586" s="389"/>
      <c r="T586" s="389"/>
      <c r="U586" s="389"/>
      <c r="V586" s="389"/>
      <c r="W586" s="389"/>
      <c r="X586" s="389"/>
      <c r="Y586" s="389"/>
      <c r="Z586" s="389"/>
      <c r="AA586" s="389"/>
      <c r="AB586" s="389"/>
      <c r="AC586" s="389"/>
    </row>
    <row r="587" spans="1:93" s="384" customFormat="1" x14ac:dyDescent="0.3">
      <c r="A587" s="383"/>
      <c r="B587" s="383"/>
      <c r="C587" s="288" t="s">
        <v>342</v>
      </c>
      <c r="D587" s="389"/>
      <c r="E587" s="389"/>
      <c r="F587" s="389"/>
      <c r="G587" s="389"/>
      <c r="H587" s="389"/>
      <c r="I587" s="389"/>
      <c r="J587" s="389"/>
      <c r="K587" s="232" t="s">
        <v>0</v>
      </c>
      <c r="L587" s="808">
        <f>L581</f>
        <v>58.417104339074477</v>
      </c>
      <c r="M587" s="808"/>
      <c r="N587" s="808"/>
      <c r="O587" s="385" t="s">
        <v>21</v>
      </c>
      <c r="P587" s="808">
        <f>L585</f>
        <v>0.3466731993314931</v>
      </c>
      <c r="Q587" s="839"/>
      <c r="R587" s="839"/>
      <c r="S587" s="389"/>
      <c r="T587" s="389"/>
      <c r="U587" s="389"/>
      <c r="V587" s="389"/>
      <c r="W587" s="389"/>
      <c r="X587" s="389"/>
      <c r="Y587" s="389"/>
      <c r="Z587" s="389"/>
      <c r="AA587" s="389"/>
      <c r="AB587" s="389"/>
      <c r="AC587" s="389"/>
    </row>
    <row r="588" spans="1:93" s="384" customFormat="1" x14ac:dyDescent="0.3">
      <c r="A588" s="383"/>
      <c r="B588" s="383"/>
      <c r="C588" s="386"/>
      <c r="D588" s="389"/>
      <c r="E588" s="389"/>
      <c r="F588" s="389"/>
      <c r="G588" s="389"/>
      <c r="H588" s="389"/>
      <c r="I588" s="389"/>
      <c r="J588" s="389"/>
      <c r="K588" s="232" t="s">
        <v>0</v>
      </c>
      <c r="L588" s="808">
        <f>L587*P587</f>
        <v>20.251644456908597</v>
      </c>
      <c r="M588" s="808"/>
      <c r="N588" s="808"/>
      <c r="O588" s="808"/>
      <c r="P588" s="288" t="s">
        <v>11</v>
      </c>
      <c r="Q588" s="74"/>
      <c r="R588" s="389"/>
      <c r="S588" s="389"/>
      <c r="T588" s="389"/>
      <c r="U588" s="389"/>
      <c r="V588" s="389"/>
      <c r="W588" s="389"/>
      <c r="X588" s="389"/>
      <c r="Y588" s="389"/>
      <c r="Z588" s="389"/>
      <c r="AA588" s="389"/>
      <c r="AB588" s="389"/>
      <c r="AC588" s="389"/>
    </row>
    <row r="589" spans="1:93" s="328" customFormat="1" x14ac:dyDescent="0.3">
      <c r="A589" s="329"/>
      <c r="B589" s="329"/>
      <c r="C589" s="330"/>
      <c r="D589" s="335"/>
      <c r="E589" s="332"/>
      <c r="F589" s="335"/>
      <c r="G589" s="332"/>
      <c r="H589" s="74"/>
      <c r="I589" s="74"/>
      <c r="J589" s="74"/>
      <c r="K589" s="232"/>
      <c r="L589" s="333"/>
      <c r="M589" s="333"/>
      <c r="N589" s="333"/>
      <c r="O589" s="333"/>
      <c r="P589" s="288"/>
      <c r="Q589" s="74"/>
      <c r="R589" s="74"/>
      <c r="S589" s="74"/>
      <c r="T589" s="74"/>
      <c r="U589" s="74"/>
      <c r="V589" s="74"/>
      <c r="W589" s="74"/>
      <c r="X589" s="332"/>
      <c r="Y589" s="332"/>
      <c r="Z589" s="332"/>
      <c r="AA589" s="332"/>
      <c r="AB589" s="332"/>
      <c r="AC589" s="332"/>
    </row>
    <row r="590" spans="1:93" s="305" customFormat="1" x14ac:dyDescent="0.35">
      <c r="A590" s="299"/>
      <c r="B590" s="299"/>
      <c r="C590" s="342" t="s">
        <v>464</v>
      </c>
      <c r="F590" s="37"/>
    </row>
    <row r="591" spans="1:93" s="305" customFormat="1" x14ac:dyDescent="0.35">
      <c r="A591" s="299"/>
      <c r="B591" s="299"/>
      <c r="C591" s="785" t="s">
        <v>38</v>
      </c>
      <c r="D591" s="785"/>
      <c r="E591" s="721" t="s">
        <v>200</v>
      </c>
      <c r="F591" s="722"/>
      <c r="G591" s="722"/>
      <c r="H591" s="722"/>
      <c r="I591" s="722"/>
      <c r="J591" s="722"/>
      <c r="K591" s="722"/>
      <c r="L591" s="722"/>
      <c r="M591" s="722"/>
      <c r="N591" s="722"/>
      <c r="O591" s="722"/>
      <c r="P591" s="722"/>
      <c r="Q591" s="722"/>
      <c r="R591" s="722"/>
      <c r="S591" s="722"/>
      <c r="T591" s="722"/>
      <c r="U591" s="722"/>
      <c r="V591" s="722"/>
      <c r="W591" s="722"/>
      <c r="X591" s="722"/>
      <c r="Y591" s="722"/>
      <c r="Z591" s="722"/>
      <c r="AA591" s="722"/>
      <c r="AB591" s="722"/>
      <c r="AC591" s="722"/>
      <c r="AD591" s="722"/>
      <c r="AE591" s="722"/>
      <c r="AF591" s="722"/>
      <c r="AG591" s="722"/>
      <c r="AH591" s="722"/>
      <c r="AI591" s="722"/>
      <c r="AJ591" s="722"/>
      <c r="AK591" s="722"/>
      <c r="AL591" s="723"/>
    </row>
    <row r="592" spans="1:93" s="305" customFormat="1" x14ac:dyDescent="0.35">
      <c r="A592" s="299"/>
      <c r="B592" s="299"/>
      <c r="C592" s="785"/>
      <c r="D592" s="785"/>
      <c r="E592" s="724"/>
      <c r="F592" s="725"/>
      <c r="G592" s="725"/>
      <c r="H592" s="725"/>
      <c r="I592" s="725"/>
      <c r="J592" s="725"/>
      <c r="K592" s="725"/>
      <c r="L592" s="725"/>
      <c r="M592" s="725"/>
      <c r="N592" s="725"/>
      <c r="O592" s="725"/>
      <c r="P592" s="725"/>
      <c r="Q592" s="725"/>
      <c r="R592" s="725"/>
      <c r="S592" s="725"/>
      <c r="T592" s="725"/>
      <c r="U592" s="725"/>
      <c r="V592" s="725"/>
      <c r="W592" s="725"/>
      <c r="X592" s="725"/>
      <c r="Y592" s="725"/>
      <c r="Z592" s="725"/>
      <c r="AA592" s="725"/>
      <c r="AB592" s="725"/>
      <c r="AC592" s="725"/>
      <c r="AD592" s="725"/>
      <c r="AE592" s="725"/>
      <c r="AF592" s="725"/>
      <c r="AG592" s="725"/>
      <c r="AH592" s="725"/>
      <c r="AI592" s="725"/>
      <c r="AJ592" s="725"/>
      <c r="AK592" s="725"/>
      <c r="AL592" s="726"/>
    </row>
    <row r="593" spans="1:46" s="305" customFormat="1" x14ac:dyDescent="0.3">
      <c r="A593" s="299"/>
      <c r="B593" s="299"/>
      <c r="C593" s="768">
        <v>1</v>
      </c>
      <c r="D593" s="769"/>
      <c r="E593" s="166" t="s">
        <v>193</v>
      </c>
      <c r="F593" s="166"/>
      <c r="G593" s="166"/>
      <c r="H593" s="166"/>
      <c r="I593" s="166"/>
      <c r="J593" s="301"/>
      <c r="K593" s="301"/>
      <c r="L593" s="301"/>
      <c r="M593" s="166"/>
      <c r="N593" s="306"/>
      <c r="O593" s="306"/>
      <c r="P593" s="306"/>
      <c r="Q593" s="306"/>
      <c r="R593" s="306"/>
      <c r="S593" s="306"/>
      <c r="T593" s="306"/>
      <c r="U593" s="306"/>
      <c r="V593" s="306"/>
      <c r="W593" s="306"/>
      <c r="X593" s="306"/>
      <c r="Y593" s="306"/>
      <c r="Z593" s="306"/>
      <c r="AA593" s="308"/>
      <c r="AB593" s="773">
        <f>(0.36*U43*1000*U65*AB478*(AB478-0.416*U65*AB478))/10^6</f>
        <v>911.67184008455547</v>
      </c>
      <c r="AC593" s="774"/>
      <c r="AD593" s="774"/>
      <c r="AE593" s="670" t="s">
        <v>11</v>
      </c>
      <c r="AF593" s="670"/>
      <c r="AG593" s="670"/>
      <c r="AH593" s="794" t="str">
        <f>IF(AB593&gt;L588,"Safe","Hence Unsafe")</f>
        <v>Safe</v>
      </c>
      <c r="AI593" s="794"/>
      <c r="AJ593" s="794"/>
      <c r="AK593" s="794"/>
      <c r="AL593" s="795"/>
    </row>
    <row r="594" spans="1:46" s="305" customFormat="1" ht="17" x14ac:dyDescent="0.45">
      <c r="A594" s="299"/>
      <c r="B594" s="299"/>
      <c r="C594" s="770"/>
      <c r="D594" s="771"/>
      <c r="E594" s="94" t="s">
        <v>208</v>
      </c>
      <c r="F594" s="303"/>
      <c r="G594" s="303"/>
      <c r="H594" s="303"/>
      <c r="I594" s="303"/>
      <c r="J594" s="303"/>
      <c r="K594" s="303"/>
      <c r="L594" s="303"/>
      <c r="M594" s="303"/>
      <c r="N594" s="303"/>
      <c r="O594" s="303"/>
      <c r="P594" s="303"/>
      <c r="Q594" s="303"/>
      <c r="R594" s="303"/>
      <c r="S594" s="303"/>
      <c r="T594" s="303"/>
      <c r="U594" s="303"/>
      <c r="V594" s="303"/>
      <c r="W594" s="303"/>
      <c r="X594" s="303"/>
      <c r="Y594" s="303"/>
      <c r="Z594" s="303"/>
      <c r="AA594" s="309"/>
      <c r="AB594" s="732"/>
      <c r="AC594" s="733"/>
      <c r="AD594" s="733"/>
      <c r="AE594" s="672"/>
      <c r="AF594" s="672"/>
      <c r="AG594" s="672"/>
      <c r="AH594" s="700"/>
      <c r="AI594" s="700"/>
      <c r="AJ594" s="700"/>
      <c r="AK594" s="700"/>
      <c r="AL594" s="701"/>
    </row>
    <row r="595" spans="1:46" s="305" customFormat="1" ht="14.5" x14ac:dyDescent="0.35">
      <c r="A595" s="299"/>
      <c r="B595" s="299"/>
      <c r="C595" s="783">
        <v>2</v>
      </c>
      <c r="D595" s="784"/>
      <c r="E595" s="184" t="s">
        <v>194</v>
      </c>
      <c r="F595" s="184"/>
      <c r="G595" s="184"/>
      <c r="H595" s="184"/>
      <c r="I595" s="184"/>
      <c r="J595" s="184"/>
      <c r="K595" s="184"/>
      <c r="L595" s="184"/>
      <c r="M595" s="184"/>
      <c r="N595" s="184"/>
      <c r="O595" s="210" t="s">
        <v>209</v>
      </c>
      <c r="P595" s="296"/>
      <c r="Q595" s="184"/>
      <c r="R595" s="184"/>
      <c r="S595" s="144"/>
      <c r="T595" s="144"/>
      <c r="U595" s="296"/>
      <c r="V595" s="143"/>
      <c r="W595" s="144"/>
      <c r="X595" s="144"/>
      <c r="Y595" s="316"/>
      <c r="Z595" s="296"/>
      <c r="AA595" s="310"/>
      <c r="AB595" s="775">
        <f>((L588*10^6)/(0.15*U43*1000))^0.5</f>
        <v>73.487675986129076</v>
      </c>
      <c r="AC595" s="776"/>
      <c r="AD595" s="776"/>
      <c r="AE595" s="729" t="s">
        <v>2</v>
      </c>
      <c r="AF595" s="729"/>
      <c r="AG595" s="729"/>
      <c r="AH595" s="296"/>
      <c r="AI595" s="186"/>
      <c r="AJ595" s="186"/>
      <c r="AK595" s="186"/>
      <c r="AL595" s="187"/>
    </row>
    <row r="596" spans="1:46" s="305" customFormat="1" x14ac:dyDescent="0.3">
      <c r="A596" s="299"/>
      <c r="B596" s="299"/>
      <c r="C596" s="783">
        <v>3</v>
      </c>
      <c r="D596" s="784"/>
      <c r="E596" s="184" t="s">
        <v>195</v>
      </c>
      <c r="F596" s="296"/>
      <c r="G596" s="296"/>
      <c r="H596" s="296"/>
      <c r="I596" s="296"/>
      <c r="J596" s="296"/>
      <c r="K596" s="296"/>
      <c r="L596" s="296"/>
      <c r="M596" s="296"/>
      <c r="N596" s="296"/>
      <c r="O596" s="296"/>
      <c r="P596" s="296"/>
      <c r="Q596" s="296"/>
      <c r="R596" s="296"/>
      <c r="S596" s="296"/>
      <c r="T596" s="296"/>
      <c r="U596" s="296"/>
      <c r="V596" s="144"/>
      <c r="W596" s="144"/>
      <c r="X596" s="144"/>
      <c r="Y596" s="296"/>
      <c r="Z596" s="296"/>
      <c r="AA596" s="310"/>
      <c r="AB596" s="775">
        <f>(G110*1000)-F83-(M602/2)</f>
        <v>470</v>
      </c>
      <c r="AC596" s="776"/>
      <c r="AD596" s="776"/>
      <c r="AE596" s="729" t="s">
        <v>2</v>
      </c>
      <c r="AF596" s="729"/>
      <c r="AG596" s="729"/>
      <c r="AH596" s="906" t="str">
        <f>IF(AB596&gt;AB595,"Safe","Hence Unsafe")</f>
        <v>Safe</v>
      </c>
      <c r="AI596" s="906"/>
      <c r="AJ596" s="906"/>
      <c r="AK596" s="906"/>
      <c r="AL596" s="907"/>
    </row>
    <row r="597" spans="1:46" s="305" customFormat="1" x14ac:dyDescent="0.35">
      <c r="A597" s="299"/>
      <c r="B597" s="299"/>
      <c r="C597" s="768">
        <v>4</v>
      </c>
      <c r="D597" s="769"/>
      <c r="E597" s="188" t="s">
        <v>196</v>
      </c>
      <c r="F597" s="128"/>
      <c r="G597" s="128"/>
      <c r="H597" s="128"/>
      <c r="I597" s="128"/>
      <c r="J597" s="306"/>
      <c r="K597" s="306"/>
      <c r="L597" s="306"/>
      <c r="M597" s="306"/>
      <c r="N597" s="306"/>
      <c r="O597" s="128"/>
      <c r="P597" s="128"/>
      <c r="Q597" s="128"/>
      <c r="R597" s="128"/>
      <c r="S597" s="306"/>
      <c r="T597" s="306"/>
      <c r="U597" s="306"/>
      <c r="V597" s="189"/>
      <c r="W597" s="189"/>
      <c r="X597" s="189"/>
      <c r="Y597" s="189"/>
      <c r="Z597" s="189"/>
      <c r="AA597" s="308"/>
      <c r="AB597" s="773">
        <f>((0.5*U43)/U44)*(1-SQRT(1-((4.6*L588*10^6)/(U43*1000*AB596^2))))*1000*AB596</f>
        <v>99.525293471707243</v>
      </c>
      <c r="AC597" s="774"/>
      <c r="AD597" s="774"/>
      <c r="AE597" s="670" t="s">
        <v>199</v>
      </c>
      <c r="AF597" s="670"/>
      <c r="AG597" s="670"/>
      <c r="AH597" s="306"/>
      <c r="AI597" s="190"/>
      <c r="AJ597" s="190"/>
      <c r="AK597" s="306"/>
      <c r="AL597" s="308"/>
    </row>
    <row r="598" spans="1:46" s="305" customFormat="1" x14ac:dyDescent="0.35">
      <c r="A598" s="299"/>
      <c r="B598" s="299"/>
      <c r="C598" s="770"/>
      <c r="D598" s="771"/>
      <c r="E598" s="180"/>
      <c r="F598" s="123"/>
      <c r="G598" s="123"/>
      <c r="H598" s="123"/>
      <c r="I598" s="123"/>
      <c r="J598" s="303"/>
      <c r="K598" s="303"/>
      <c r="L598" s="303"/>
      <c r="M598" s="303"/>
      <c r="N598" s="303"/>
      <c r="O598" s="303"/>
      <c r="P598" s="303"/>
      <c r="Q598" s="303"/>
      <c r="R598" s="303"/>
      <c r="S598" s="303"/>
      <c r="T598" s="303"/>
      <c r="U598" s="303"/>
      <c r="V598" s="303"/>
      <c r="W598" s="303"/>
      <c r="X598" s="303"/>
      <c r="Y598" s="303"/>
      <c r="Z598" s="303"/>
      <c r="AA598" s="309"/>
      <c r="AB598" s="732"/>
      <c r="AC598" s="733"/>
      <c r="AD598" s="733"/>
      <c r="AE598" s="672"/>
      <c r="AF598" s="672"/>
      <c r="AG598" s="672"/>
      <c r="AH598" s="191"/>
      <c r="AI598" s="191"/>
      <c r="AJ598" s="191"/>
      <c r="AK598" s="303"/>
      <c r="AL598" s="309"/>
    </row>
    <row r="599" spans="1:46" s="305" customFormat="1" x14ac:dyDescent="0.35">
      <c r="A599" s="299"/>
      <c r="B599" s="299"/>
      <c r="C599" s="768">
        <v>5</v>
      </c>
      <c r="D599" s="769"/>
      <c r="E599" s="312" t="s">
        <v>197</v>
      </c>
      <c r="F599" s="306"/>
      <c r="G599" s="306"/>
      <c r="H599" s="306"/>
      <c r="I599" s="306"/>
      <c r="J599" s="306"/>
      <c r="K599" s="306"/>
      <c r="L599" s="306"/>
      <c r="M599" s="306"/>
      <c r="N599" s="306"/>
      <c r="O599" s="192"/>
      <c r="P599" s="192"/>
      <c r="Q599" s="192"/>
      <c r="R599" s="192"/>
      <c r="S599" s="192"/>
      <c r="T599" s="128"/>
      <c r="U599" s="128"/>
      <c r="V599" s="128"/>
      <c r="W599" s="306"/>
      <c r="X599" s="306"/>
      <c r="Y599" s="306"/>
      <c r="Z599" s="306"/>
      <c r="AA599" s="308"/>
      <c r="AB599" s="773">
        <f>MAX((0.26*(U54/U45)*1000*(AVERAGE(G110,AD111)*1000)),(0.0013*1000*(AVERAGE(G110,AD111)*1000)))</f>
        <v>617.50000000000011</v>
      </c>
      <c r="AC599" s="774"/>
      <c r="AD599" s="774"/>
      <c r="AE599" s="670" t="s">
        <v>199</v>
      </c>
      <c r="AF599" s="670"/>
      <c r="AG599" s="670"/>
      <c r="AH599" s="306"/>
      <c r="AI599" s="306"/>
      <c r="AJ599" s="306"/>
      <c r="AK599" s="306"/>
      <c r="AL599" s="308"/>
    </row>
    <row r="600" spans="1:46" s="305" customFormat="1" x14ac:dyDescent="0.35">
      <c r="A600" s="299"/>
      <c r="B600" s="299"/>
      <c r="C600" s="770"/>
      <c r="D600" s="771"/>
      <c r="E600" s="193" t="s">
        <v>198</v>
      </c>
      <c r="F600" s="303"/>
      <c r="G600" s="303"/>
      <c r="H600" s="303"/>
      <c r="I600" s="303"/>
      <c r="J600" s="303"/>
      <c r="K600" s="303"/>
      <c r="L600" s="303"/>
      <c r="M600" s="303"/>
      <c r="N600" s="303"/>
      <c r="O600" s="303"/>
      <c r="P600" s="303"/>
      <c r="Q600" s="303"/>
      <c r="R600" s="303"/>
      <c r="S600" s="303"/>
      <c r="T600" s="303"/>
      <c r="U600" s="303"/>
      <c r="V600" s="303"/>
      <c r="W600" s="303"/>
      <c r="X600" s="303"/>
      <c r="Y600" s="303"/>
      <c r="Z600" s="303"/>
      <c r="AA600" s="194"/>
      <c r="AB600" s="732"/>
      <c r="AC600" s="733"/>
      <c r="AD600" s="733"/>
      <c r="AE600" s="672"/>
      <c r="AF600" s="672"/>
      <c r="AG600" s="672"/>
      <c r="AH600" s="303"/>
      <c r="AI600" s="303"/>
      <c r="AJ600" s="303"/>
      <c r="AK600" s="303"/>
      <c r="AL600" s="309"/>
    </row>
    <row r="601" spans="1:46" s="305" customFormat="1" x14ac:dyDescent="0.35">
      <c r="A601" s="299"/>
      <c r="B601" s="299"/>
      <c r="C601" s="768">
        <v>6</v>
      </c>
      <c r="D601" s="769"/>
      <c r="E601" s="312" t="s">
        <v>204</v>
      </c>
      <c r="F601" s="306"/>
      <c r="G601" s="306"/>
      <c r="H601" s="306"/>
      <c r="I601" s="306"/>
      <c r="J601" s="306"/>
      <c r="K601" s="306"/>
      <c r="L601" s="306"/>
      <c r="M601" s="306"/>
      <c r="N601" s="306"/>
      <c r="O601" s="306"/>
      <c r="P601" s="306"/>
      <c r="Q601" s="306"/>
      <c r="R601" s="306"/>
      <c r="S601" s="306"/>
      <c r="T601" s="306"/>
      <c r="U601" s="306"/>
      <c r="V601" s="306"/>
      <c r="W601" s="306"/>
      <c r="X601" s="306"/>
      <c r="Y601" s="306"/>
      <c r="Z601" s="306"/>
      <c r="AA601" s="308"/>
      <c r="AB601" s="432" t="s">
        <v>475</v>
      </c>
      <c r="AC601" s="306"/>
      <c r="AD601" s="306"/>
      <c r="AE601" s="306"/>
      <c r="AF601" s="306"/>
      <c r="AG601" s="306"/>
      <c r="AH601" s="306"/>
      <c r="AI601" s="306"/>
      <c r="AJ601" s="306"/>
      <c r="AK601" s="306"/>
      <c r="AL601" s="308"/>
      <c r="AM601" s="299"/>
    </row>
    <row r="602" spans="1:46" s="305" customFormat="1" x14ac:dyDescent="0.35">
      <c r="A602" s="299"/>
      <c r="B602" s="299"/>
      <c r="C602" s="904"/>
      <c r="D602" s="905"/>
      <c r="E602" s="179" t="s">
        <v>202</v>
      </c>
      <c r="F602" s="154"/>
      <c r="G602" s="154"/>
      <c r="H602" s="154" t="s">
        <v>23</v>
      </c>
      <c r="I602" s="154"/>
      <c r="J602" s="154"/>
      <c r="K602" s="154"/>
      <c r="L602" s="299"/>
      <c r="M602" s="760">
        <v>10</v>
      </c>
      <c r="N602" s="760"/>
      <c r="O602" s="302" t="s">
        <v>201</v>
      </c>
      <c r="P602" s="789">
        <v>100</v>
      </c>
      <c r="Q602" s="789"/>
      <c r="R602" s="789"/>
      <c r="S602" s="789"/>
      <c r="T602" s="789"/>
      <c r="U602" s="789"/>
      <c r="V602" s="789"/>
      <c r="W602" s="154"/>
      <c r="X602" s="176"/>
      <c r="Y602" s="299"/>
      <c r="Z602" s="299"/>
      <c r="AA602" s="124"/>
      <c r="AB602" s="731">
        <f>IF(M603=0,((PI()/4*M602^2)*(1000/P602)),(((PI()/4*M602^2)*(1000/P602))+((PI()/4*M603^2)*(1000/P603))))</f>
        <v>785.39816339744834</v>
      </c>
      <c r="AC602" s="693"/>
      <c r="AD602" s="693"/>
      <c r="AE602" s="704" t="s">
        <v>199</v>
      </c>
      <c r="AF602" s="704"/>
      <c r="AG602" s="704"/>
      <c r="AH602" s="698" t="str">
        <f>IF(AB602&gt;MAX(AB597:AD600),"Safe","Hence Unsafe")</f>
        <v>Safe</v>
      </c>
      <c r="AI602" s="698"/>
      <c r="AJ602" s="698"/>
      <c r="AK602" s="698"/>
      <c r="AL602" s="699"/>
      <c r="AM602" s="182"/>
      <c r="AR602" s="695">
        <f>((PI()/4*M602^2)*(1000/P602))</f>
        <v>785.39816339744834</v>
      </c>
      <c r="AS602" s="695"/>
      <c r="AT602" s="695"/>
    </row>
    <row r="603" spans="1:46" s="305" customFormat="1" x14ac:dyDescent="0.35">
      <c r="A603" s="299"/>
      <c r="B603" s="299"/>
      <c r="C603" s="770"/>
      <c r="D603" s="771"/>
      <c r="E603" s="180" t="s">
        <v>203</v>
      </c>
      <c r="F603" s="123"/>
      <c r="G603" s="123"/>
      <c r="H603" s="123" t="s">
        <v>23</v>
      </c>
      <c r="I603" s="123"/>
      <c r="J603" s="123"/>
      <c r="K603" s="123"/>
      <c r="L603" s="303"/>
      <c r="M603" s="762">
        <v>0</v>
      </c>
      <c r="N603" s="762"/>
      <c r="O603" s="304" t="s">
        <v>201</v>
      </c>
      <c r="P603" s="730">
        <v>0</v>
      </c>
      <c r="Q603" s="730"/>
      <c r="R603" s="730"/>
      <c r="S603" s="730"/>
      <c r="T603" s="730"/>
      <c r="U603" s="730"/>
      <c r="V603" s="730"/>
      <c r="W603" s="123"/>
      <c r="X603" s="123"/>
      <c r="Y603" s="303"/>
      <c r="Z603" s="303"/>
      <c r="AA603" s="309"/>
      <c r="AB603" s="732"/>
      <c r="AC603" s="733"/>
      <c r="AD603" s="733"/>
      <c r="AE603" s="672"/>
      <c r="AF603" s="672"/>
      <c r="AG603" s="672"/>
      <c r="AH603" s="700"/>
      <c r="AI603" s="700"/>
      <c r="AJ603" s="700"/>
      <c r="AK603" s="700"/>
      <c r="AL603" s="701"/>
      <c r="AM603" s="182"/>
      <c r="AR603" s="695" t="e">
        <f>((PI()/4*M603^2)*(1000/P603))</f>
        <v>#DIV/0!</v>
      </c>
      <c r="AS603" s="695"/>
      <c r="AT603" s="695"/>
    </row>
    <row r="604" spans="1:46" s="305" customFormat="1" x14ac:dyDescent="0.35">
      <c r="A604" s="299"/>
      <c r="B604" s="299"/>
      <c r="C604" s="768">
        <v>7</v>
      </c>
      <c r="D604" s="769"/>
      <c r="E604" s="748" t="s">
        <v>205</v>
      </c>
      <c r="F604" s="749"/>
      <c r="G604" s="749"/>
      <c r="H604" s="749"/>
      <c r="I604" s="749"/>
      <c r="J604" s="749"/>
      <c r="K604" s="749"/>
      <c r="L604" s="749"/>
      <c r="M604" s="749"/>
      <c r="N604" s="749"/>
      <c r="O604" s="749"/>
      <c r="P604" s="749"/>
      <c r="Q604" s="749"/>
      <c r="R604" s="749"/>
      <c r="S604" s="749"/>
      <c r="T604" s="749"/>
      <c r="U604" s="749"/>
      <c r="V604" s="749"/>
      <c r="W604" s="749"/>
      <c r="X604" s="749"/>
      <c r="Y604" s="749"/>
      <c r="Z604" s="749"/>
      <c r="AA604" s="750"/>
      <c r="AB604" s="432" t="s">
        <v>475</v>
      </c>
      <c r="AC604" s="306"/>
      <c r="AD604" s="306"/>
      <c r="AE604" s="306"/>
      <c r="AF604" s="306"/>
      <c r="AG604" s="306"/>
      <c r="AH604" s="306"/>
      <c r="AI604" s="306"/>
      <c r="AJ604" s="306"/>
      <c r="AK604" s="306"/>
      <c r="AL604" s="308"/>
      <c r="AM604" s="299"/>
    </row>
    <row r="605" spans="1:46" s="305" customFormat="1" ht="16" x14ac:dyDescent="0.35">
      <c r="A605" s="299"/>
      <c r="B605" s="299"/>
      <c r="C605" s="770"/>
      <c r="D605" s="771"/>
      <c r="E605" s="180" t="s">
        <v>207</v>
      </c>
      <c r="F605" s="123"/>
      <c r="G605" s="123"/>
      <c r="H605" s="123"/>
      <c r="I605" s="123"/>
      <c r="J605" s="123"/>
      <c r="K605" s="123"/>
      <c r="L605" s="303"/>
      <c r="M605" s="303"/>
      <c r="N605" s="303"/>
      <c r="O605" s="303"/>
      <c r="P605" s="303" t="s">
        <v>0</v>
      </c>
      <c r="Q605" s="762">
        <v>8</v>
      </c>
      <c r="R605" s="762"/>
      <c r="S605" s="304" t="s">
        <v>201</v>
      </c>
      <c r="T605" s="730">
        <v>200</v>
      </c>
      <c r="U605" s="730"/>
      <c r="V605" s="730"/>
      <c r="W605" s="730"/>
      <c r="X605" s="730"/>
      <c r="Y605" s="730"/>
      <c r="Z605" s="730"/>
      <c r="AA605" s="309"/>
      <c r="AB605" s="732">
        <f>((PI()/4*Q605^2)*(1000/T605))</f>
        <v>251.32741228718345</v>
      </c>
      <c r="AC605" s="733"/>
      <c r="AD605" s="733"/>
      <c r="AE605" s="672" t="s">
        <v>199</v>
      </c>
      <c r="AF605" s="672"/>
      <c r="AG605" s="672"/>
      <c r="AH605" s="700" t="str">
        <f>IF(AB605&gt;(20%*AB602),"Safe","Hence Unsafe")</f>
        <v>Safe</v>
      </c>
      <c r="AI605" s="700"/>
      <c r="AJ605" s="700"/>
      <c r="AK605" s="700"/>
      <c r="AL605" s="701"/>
      <c r="AM605" s="299"/>
    </row>
    <row r="606" spans="1:46" s="305" customFormat="1" ht="23.25" customHeight="1" x14ac:dyDescent="0.35">
      <c r="A606" s="299"/>
      <c r="B606" s="299"/>
      <c r="C606" s="299"/>
      <c r="F606" s="37"/>
      <c r="H606" s="299"/>
      <c r="I606" s="299"/>
      <c r="J606" s="299"/>
      <c r="K606" s="299"/>
      <c r="L606" s="299"/>
      <c r="M606" s="299"/>
      <c r="N606" s="154"/>
      <c r="O606" s="154"/>
      <c r="P606" s="154"/>
      <c r="Q606" s="299"/>
      <c r="R606" s="154"/>
      <c r="S606" s="154"/>
      <c r="T606" s="299"/>
      <c r="U606" s="299"/>
      <c r="V606" s="299"/>
      <c r="W606" s="299"/>
      <c r="X606" s="299"/>
      <c r="Y606" s="299"/>
      <c r="Z606" s="299"/>
      <c r="AA606" s="299"/>
      <c r="AB606" s="299"/>
      <c r="AC606" s="299"/>
      <c r="AD606" s="299"/>
      <c r="AE606" s="299"/>
      <c r="AF606" s="299"/>
      <c r="AG606" s="299"/>
      <c r="AH606" s="299"/>
      <c r="AI606" s="299"/>
      <c r="AJ606" s="299"/>
      <c r="AK606" s="299"/>
      <c r="AL606" s="299"/>
      <c r="AM606" s="299"/>
    </row>
    <row r="607" spans="1:46" s="502" customFormat="1" ht="23.25" customHeight="1" x14ac:dyDescent="0.35">
      <c r="A607" s="500"/>
      <c r="B607" s="500"/>
      <c r="C607" s="500"/>
      <c r="F607" s="37"/>
      <c r="H607" s="500"/>
      <c r="I607" s="500"/>
      <c r="J607" s="500"/>
      <c r="K607" s="500"/>
      <c r="L607" s="500"/>
      <c r="M607" s="500"/>
      <c r="N607" s="154"/>
      <c r="O607" s="154"/>
      <c r="P607" s="154"/>
      <c r="Q607" s="500"/>
      <c r="R607" s="154"/>
      <c r="S607" s="154"/>
      <c r="T607" s="500"/>
      <c r="U607" s="500"/>
      <c r="V607" s="500"/>
      <c r="W607" s="500"/>
      <c r="X607" s="500"/>
      <c r="Y607" s="500"/>
      <c r="Z607" s="500"/>
      <c r="AA607" s="500"/>
      <c r="AB607" s="500"/>
      <c r="AC607" s="500"/>
      <c r="AD607" s="500"/>
      <c r="AE607" s="500"/>
      <c r="AF607" s="500"/>
      <c r="AG607" s="500"/>
      <c r="AH607" s="500"/>
      <c r="AI607" s="500"/>
      <c r="AJ607" s="500"/>
      <c r="AK607" s="500"/>
      <c r="AL607" s="500"/>
      <c r="AM607" s="500"/>
    </row>
    <row r="608" spans="1:46" s="502" customFormat="1" ht="23.25" customHeight="1" x14ac:dyDescent="0.35">
      <c r="A608" s="500"/>
      <c r="B608" s="500"/>
      <c r="C608" s="500"/>
      <c r="F608" s="37"/>
      <c r="H608" s="500"/>
      <c r="I608" s="500"/>
      <c r="J608" s="500"/>
      <c r="K608" s="500"/>
      <c r="L608" s="500"/>
      <c r="M608" s="500"/>
      <c r="N608" s="154"/>
      <c r="O608" s="154"/>
      <c r="P608" s="154"/>
      <c r="Q608" s="500"/>
      <c r="R608" s="154"/>
      <c r="S608" s="154"/>
      <c r="T608" s="500"/>
      <c r="U608" s="500"/>
      <c r="V608" s="500"/>
      <c r="W608" s="500"/>
      <c r="X608" s="500"/>
      <c r="Y608" s="500"/>
      <c r="Z608" s="500"/>
      <c r="AA608" s="500"/>
      <c r="AB608" s="500"/>
      <c r="AC608" s="500"/>
      <c r="AD608" s="500"/>
      <c r="AE608" s="500"/>
      <c r="AF608" s="500"/>
      <c r="AG608" s="500"/>
      <c r="AH608" s="500"/>
      <c r="AI608" s="500"/>
      <c r="AJ608" s="500"/>
      <c r="AK608" s="500"/>
      <c r="AL608" s="500"/>
      <c r="AM608" s="500"/>
    </row>
    <row r="609" spans="1:51" s="502" customFormat="1" ht="23.25" customHeight="1" x14ac:dyDescent="0.35">
      <c r="A609" s="500"/>
      <c r="B609" s="500"/>
      <c r="C609" s="500"/>
      <c r="F609" s="37"/>
      <c r="H609" s="500"/>
      <c r="I609" s="500"/>
      <c r="J609" s="500"/>
      <c r="K609" s="500"/>
      <c r="L609" s="500"/>
      <c r="M609" s="500"/>
      <c r="N609" s="154"/>
      <c r="O609" s="154"/>
      <c r="P609" s="154"/>
      <c r="Q609" s="500"/>
      <c r="R609" s="154"/>
      <c r="S609" s="154"/>
      <c r="T609" s="500"/>
      <c r="U609" s="500"/>
      <c r="V609" s="500"/>
      <c r="W609" s="500"/>
      <c r="X609" s="154"/>
      <c r="Y609" s="154"/>
      <c r="Z609" s="154"/>
      <c r="AA609" s="154"/>
      <c r="AB609" s="500"/>
      <c r="AC609" s="500"/>
      <c r="AD609" s="500"/>
      <c r="AE609" s="500"/>
      <c r="AF609" s="500"/>
      <c r="AG609" s="500"/>
      <c r="AH609" s="500"/>
      <c r="AI609" s="500"/>
      <c r="AJ609" s="500"/>
      <c r="AK609" s="500"/>
      <c r="AL609" s="500"/>
      <c r="AM609" s="500"/>
    </row>
    <row r="610" spans="1:51" s="502" customFormat="1" ht="23.25" customHeight="1" x14ac:dyDescent="0.35">
      <c r="A610" s="500"/>
      <c r="B610" s="500"/>
      <c r="C610" s="500"/>
      <c r="F610" s="37"/>
      <c r="H610" s="500"/>
      <c r="I610" s="500"/>
      <c r="J610" s="500"/>
      <c r="K610" s="500"/>
      <c r="L610" s="500"/>
      <c r="M610" s="500"/>
      <c r="N610" s="154"/>
      <c r="O610" s="154"/>
      <c r="P610" s="154"/>
      <c r="Q610" s="500"/>
      <c r="R610" s="154"/>
      <c r="S610" s="154"/>
      <c r="T610" s="500"/>
      <c r="U610" s="500"/>
      <c r="V610" s="500"/>
      <c r="W610" s="500"/>
      <c r="X610" s="500"/>
      <c r="Y610" s="500"/>
      <c r="Z610" s="500"/>
      <c r="AA610" s="500"/>
      <c r="AB610" s="500"/>
      <c r="AC610" s="500"/>
      <c r="AD610" s="500"/>
      <c r="AE610" s="500"/>
      <c r="AF610" s="500"/>
      <c r="AG610" s="500"/>
      <c r="AH610" s="500"/>
      <c r="AI610" s="500"/>
      <c r="AJ610" s="500"/>
      <c r="AK610" s="500"/>
      <c r="AL610" s="500"/>
      <c r="AM610" s="500"/>
    </row>
    <row r="611" spans="1:51" s="502" customFormat="1" ht="23.25" customHeight="1" x14ac:dyDescent="0.35">
      <c r="A611" s="500"/>
      <c r="B611" s="500"/>
      <c r="C611" s="500"/>
      <c r="F611" s="37"/>
      <c r="H611" s="500"/>
      <c r="I611" s="500"/>
      <c r="J611" s="500"/>
      <c r="K611" s="500"/>
      <c r="L611" s="500"/>
      <c r="M611" s="500"/>
      <c r="N611" s="154"/>
      <c r="O611" s="154"/>
      <c r="P611" s="154"/>
      <c r="Q611" s="500"/>
      <c r="R611" s="154"/>
      <c r="S611" s="154"/>
      <c r="T611" s="500"/>
      <c r="U611" s="500"/>
      <c r="V611" s="500"/>
      <c r="W611" s="500"/>
      <c r="X611" s="500"/>
      <c r="Y611" s="500"/>
      <c r="Z611" s="500"/>
      <c r="AA611" s="500"/>
      <c r="AB611" s="500"/>
      <c r="AC611" s="500"/>
      <c r="AD611" s="500"/>
      <c r="AE611" s="500"/>
      <c r="AF611" s="500"/>
      <c r="AG611" s="500"/>
      <c r="AH611" s="500"/>
      <c r="AI611" s="500"/>
      <c r="AJ611" s="500"/>
      <c r="AK611" s="500"/>
      <c r="AL611" s="500"/>
      <c r="AM611" s="500"/>
    </row>
    <row r="612" spans="1:51" s="528" customFormat="1" ht="23.25" customHeight="1" x14ac:dyDescent="0.35">
      <c r="A612" s="526"/>
      <c r="B612" s="526"/>
      <c r="C612" s="526"/>
      <c r="F612" s="37"/>
      <c r="H612" s="526"/>
      <c r="I612" s="526"/>
      <c r="J612" s="526"/>
      <c r="K612" s="526"/>
      <c r="L612" s="526"/>
      <c r="M612" s="526"/>
      <c r="N612" s="154"/>
      <c r="O612" s="154"/>
      <c r="P612" s="154"/>
      <c r="Q612" s="526"/>
      <c r="R612" s="154"/>
      <c r="S612" s="154"/>
      <c r="T612" s="526"/>
      <c r="U612" s="526"/>
      <c r="V612" s="526"/>
      <c r="W612" s="526"/>
      <c r="X612" s="526"/>
      <c r="Y612" s="526"/>
      <c r="Z612" s="526"/>
      <c r="AA612" s="526"/>
      <c r="AB612" s="526"/>
      <c r="AC612" s="526"/>
      <c r="AD612" s="526"/>
      <c r="AE612" s="526"/>
      <c r="AF612" s="526"/>
      <c r="AG612" s="526"/>
      <c r="AH612" s="526"/>
      <c r="AI612" s="526"/>
      <c r="AJ612" s="526"/>
      <c r="AK612" s="526"/>
      <c r="AL612" s="526"/>
      <c r="AM612" s="526"/>
    </row>
    <row r="613" spans="1:51" s="528" customFormat="1" ht="23.25" customHeight="1" x14ac:dyDescent="0.35">
      <c r="A613" s="526"/>
      <c r="B613" s="526"/>
      <c r="C613" s="526"/>
      <c r="F613" s="37"/>
      <c r="H613" s="526"/>
      <c r="I613" s="526"/>
      <c r="J613" s="526"/>
      <c r="K613" s="526"/>
      <c r="L613" s="526"/>
      <c r="M613" s="526"/>
      <c r="N613" s="154"/>
      <c r="O613" s="154"/>
      <c r="P613" s="154"/>
      <c r="Q613" s="526"/>
      <c r="R613" s="154"/>
      <c r="S613" s="154"/>
      <c r="T613" s="526"/>
      <c r="U613" s="526"/>
      <c r="V613" s="526"/>
      <c r="W613" s="526"/>
      <c r="X613" s="526"/>
      <c r="Y613" s="526"/>
      <c r="Z613" s="526"/>
      <c r="AA613" s="526"/>
      <c r="AB613" s="526"/>
      <c r="AC613" s="526"/>
      <c r="AD613" s="526"/>
      <c r="AE613" s="526"/>
      <c r="AF613" s="526"/>
      <c r="AG613" s="526"/>
      <c r="AH613" s="526"/>
      <c r="AI613" s="526"/>
      <c r="AJ613" s="526"/>
      <c r="AK613" s="526"/>
      <c r="AL613" s="526"/>
      <c r="AM613" s="526"/>
    </row>
    <row r="614" spans="1:51" s="528" customFormat="1" ht="23.25" customHeight="1" x14ac:dyDescent="0.35">
      <c r="A614" s="526"/>
      <c r="B614" s="526"/>
      <c r="C614" s="526"/>
      <c r="F614" s="37"/>
      <c r="H614" s="526"/>
      <c r="I614" s="526"/>
      <c r="J614" s="526"/>
      <c r="K614" s="526"/>
      <c r="L614" s="526"/>
      <c r="M614" s="526"/>
      <c r="N614" s="154"/>
      <c r="O614" s="154"/>
      <c r="P614" s="154"/>
      <c r="Q614" s="526"/>
      <c r="R614" s="154"/>
      <c r="S614" s="154"/>
      <c r="T614" s="526"/>
      <c r="U614" s="526"/>
      <c r="V614" s="526"/>
      <c r="W614" s="526"/>
      <c r="X614" s="526"/>
      <c r="Y614" s="526"/>
      <c r="Z614" s="526"/>
      <c r="AA614" s="526"/>
      <c r="AB614" s="526"/>
      <c r="AC614" s="526"/>
      <c r="AD614" s="526"/>
      <c r="AE614" s="526"/>
      <c r="AF614" s="526"/>
      <c r="AG614" s="526"/>
      <c r="AH614" s="526"/>
      <c r="AI614" s="526"/>
      <c r="AJ614" s="526"/>
      <c r="AK614" s="526"/>
      <c r="AL614" s="526"/>
      <c r="AM614" s="526"/>
    </row>
    <row r="615" spans="1:51" s="502" customFormat="1" ht="12" customHeight="1" x14ac:dyDescent="0.35">
      <c r="A615" s="500"/>
      <c r="B615" s="500"/>
      <c r="C615" s="500"/>
      <c r="F615" s="37"/>
      <c r="H615" s="500"/>
      <c r="I615" s="500"/>
      <c r="J615" s="500"/>
      <c r="K615" s="500"/>
      <c r="L615" s="500"/>
      <c r="M615" s="500"/>
      <c r="N615" s="154"/>
      <c r="O615" s="154"/>
      <c r="P615" s="154"/>
      <c r="Q615" s="500"/>
      <c r="R615" s="154"/>
      <c r="S615" s="154"/>
      <c r="T615" s="500"/>
      <c r="U615" s="500"/>
      <c r="V615" s="500"/>
      <c r="W615" s="500"/>
      <c r="X615" s="500"/>
      <c r="Y615" s="500"/>
      <c r="Z615" s="500"/>
      <c r="AA615" s="500"/>
      <c r="AB615" s="500"/>
      <c r="AC615" s="500"/>
      <c r="AD615" s="500"/>
      <c r="AE615" s="500"/>
      <c r="AF615" s="500"/>
      <c r="AG615" s="500"/>
      <c r="AH615" s="500"/>
      <c r="AI615" s="500"/>
      <c r="AJ615" s="500"/>
      <c r="AK615" s="500"/>
      <c r="AL615" s="500"/>
      <c r="AM615" s="500"/>
    </row>
    <row r="616" spans="1:51" s="328" customFormat="1" x14ac:dyDescent="0.35">
      <c r="A616" s="329"/>
      <c r="B616" s="329"/>
      <c r="C616" s="361" t="s">
        <v>393</v>
      </c>
      <c r="F616" s="37"/>
      <c r="H616" s="329"/>
      <c r="I616" s="329"/>
      <c r="J616" s="329"/>
      <c r="K616" s="329"/>
      <c r="L616" s="329"/>
      <c r="M616" s="329"/>
      <c r="N616" s="154"/>
      <c r="O616" s="154"/>
      <c r="P616" s="154"/>
      <c r="Q616" s="329"/>
      <c r="R616" s="154"/>
      <c r="S616" s="154"/>
      <c r="T616" s="329"/>
      <c r="U616" s="329"/>
      <c r="V616" s="329"/>
      <c r="W616" s="329"/>
      <c r="X616" s="329"/>
      <c r="Y616" s="329"/>
      <c r="Z616" s="329"/>
      <c r="AA616" s="329"/>
      <c r="AB616" s="329"/>
      <c r="AC616" s="329"/>
      <c r="AD616" s="329"/>
      <c r="AE616" s="329"/>
      <c r="AF616" s="329"/>
      <c r="AG616" s="329"/>
      <c r="AH616" s="329"/>
      <c r="AI616" s="329"/>
      <c r="AJ616" s="329"/>
      <c r="AK616" s="329"/>
      <c r="AL616" s="329"/>
      <c r="AM616" s="329"/>
    </row>
    <row r="617" spans="1:51" s="305" customFormat="1" ht="4.5" customHeight="1" x14ac:dyDescent="0.35">
      <c r="A617" s="299"/>
      <c r="B617" s="299"/>
      <c r="C617" s="299"/>
      <c r="H617" s="299"/>
      <c r="I617" s="299"/>
      <c r="J617" s="299"/>
      <c r="K617" s="299"/>
      <c r="L617" s="299"/>
      <c r="M617" s="299"/>
      <c r="X617" s="299"/>
      <c r="Y617" s="299"/>
      <c r="Z617" s="299"/>
      <c r="AA617" s="299"/>
      <c r="AB617" s="299"/>
      <c r="AC617" s="299"/>
      <c r="AD617" s="299"/>
      <c r="AE617" s="299"/>
      <c r="AF617" s="299"/>
      <c r="AG617" s="299"/>
      <c r="AH617" s="299"/>
      <c r="AI617" s="299"/>
      <c r="AJ617" s="299"/>
      <c r="AK617" s="299"/>
      <c r="AL617" s="299"/>
      <c r="AM617" s="299"/>
    </row>
    <row r="618" spans="1:51" s="305" customFormat="1" x14ac:dyDescent="0.3">
      <c r="A618" s="299"/>
      <c r="B618" s="299"/>
      <c r="C618" s="342" t="s">
        <v>465</v>
      </c>
      <c r="H618" s="299"/>
      <c r="I618" s="299"/>
      <c r="J618" s="299"/>
      <c r="K618" s="299"/>
      <c r="L618" s="299"/>
      <c r="M618" s="122"/>
      <c r="N618" s="122"/>
      <c r="O618" s="311"/>
      <c r="P618" s="177"/>
      <c r="Q618" s="177"/>
      <c r="R618" s="177"/>
      <c r="S618" s="80"/>
      <c r="T618" s="178"/>
      <c r="U618" s="178"/>
      <c r="V618" s="178"/>
      <c r="W618" s="176"/>
      <c r="X618" s="307"/>
      <c r="Y618" s="307"/>
      <c r="Z618" s="307"/>
      <c r="AA618" s="299"/>
      <c r="AB618" s="299"/>
      <c r="AC618" s="299"/>
      <c r="AD618" s="299"/>
      <c r="AE618" s="299"/>
      <c r="AF618" s="299"/>
      <c r="AG618" s="299"/>
      <c r="AH618" s="299"/>
      <c r="AI618" s="299"/>
      <c r="AJ618" s="299"/>
      <c r="AK618" s="299"/>
      <c r="AL618" s="299"/>
      <c r="AM618" s="299"/>
    </row>
    <row r="619" spans="1:51" s="305" customFormat="1" x14ac:dyDescent="0.35">
      <c r="A619" s="299"/>
      <c r="B619" s="299"/>
      <c r="C619" s="785" t="s">
        <v>38</v>
      </c>
      <c r="D619" s="785"/>
      <c r="E619" s="721" t="s">
        <v>200</v>
      </c>
      <c r="F619" s="722"/>
      <c r="G619" s="722"/>
      <c r="H619" s="722"/>
      <c r="I619" s="722"/>
      <c r="J619" s="722"/>
      <c r="K619" s="722"/>
      <c r="L619" s="722"/>
      <c r="M619" s="722"/>
      <c r="N619" s="722"/>
      <c r="O619" s="722"/>
      <c r="P619" s="722"/>
      <c r="Q619" s="722"/>
      <c r="R619" s="722"/>
      <c r="S619" s="722"/>
      <c r="T619" s="722"/>
      <c r="U619" s="722"/>
      <c r="V619" s="722"/>
      <c r="W619" s="722"/>
      <c r="X619" s="722"/>
      <c r="Y619" s="722"/>
      <c r="Z619" s="722"/>
      <c r="AA619" s="722"/>
      <c r="AB619" s="722"/>
      <c r="AC619" s="722"/>
      <c r="AD619" s="722"/>
      <c r="AE619" s="722"/>
      <c r="AF619" s="722"/>
      <c r="AG619" s="722"/>
      <c r="AH619" s="722"/>
      <c r="AI619" s="722"/>
      <c r="AJ619" s="722"/>
      <c r="AK619" s="722"/>
      <c r="AL619" s="723"/>
      <c r="AM619" s="299"/>
    </row>
    <row r="620" spans="1:51" s="305" customFormat="1" x14ac:dyDescent="0.35">
      <c r="A620" s="299"/>
      <c r="B620" s="299"/>
      <c r="C620" s="785"/>
      <c r="D620" s="785"/>
      <c r="E620" s="724"/>
      <c r="F620" s="725"/>
      <c r="G620" s="725"/>
      <c r="H620" s="725"/>
      <c r="I620" s="725"/>
      <c r="J620" s="725"/>
      <c r="K620" s="725"/>
      <c r="L620" s="725"/>
      <c r="M620" s="725"/>
      <c r="N620" s="725"/>
      <c r="O620" s="725"/>
      <c r="P620" s="725"/>
      <c r="Q620" s="725"/>
      <c r="R620" s="725"/>
      <c r="S620" s="725"/>
      <c r="T620" s="725"/>
      <c r="U620" s="725"/>
      <c r="V620" s="725"/>
      <c r="W620" s="725"/>
      <c r="X620" s="725"/>
      <c r="Y620" s="725"/>
      <c r="Z620" s="725"/>
      <c r="AA620" s="725"/>
      <c r="AB620" s="725"/>
      <c r="AC620" s="725"/>
      <c r="AD620" s="725"/>
      <c r="AE620" s="725"/>
      <c r="AF620" s="725"/>
      <c r="AG620" s="725"/>
      <c r="AH620" s="725"/>
      <c r="AI620" s="725"/>
      <c r="AJ620" s="725"/>
      <c r="AK620" s="725"/>
      <c r="AL620" s="726"/>
      <c r="AM620" s="299"/>
    </row>
    <row r="621" spans="1:51" s="305" customFormat="1" ht="14.5" x14ac:dyDescent="0.35">
      <c r="A621" s="299"/>
      <c r="B621" s="299"/>
      <c r="C621" s="768">
        <v>1</v>
      </c>
      <c r="D621" s="769"/>
      <c r="E621" s="216" t="s">
        <v>346</v>
      </c>
      <c r="F621" s="234"/>
      <c r="G621" s="234"/>
      <c r="H621" s="234"/>
      <c r="I621" s="234"/>
      <c r="J621" s="234"/>
      <c r="K621" s="234"/>
      <c r="L621" s="234"/>
      <c r="M621" s="234"/>
      <c r="N621" s="234"/>
      <c r="O621" s="234"/>
      <c r="P621" s="234"/>
      <c r="Q621" s="234"/>
      <c r="R621" s="234"/>
      <c r="S621" s="234"/>
      <c r="T621" s="234"/>
      <c r="U621" s="234"/>
      <c r="V621" s="234"/>
      <c r="W621" s="234"/>
      <c r="X621" s="234"/>
      <c r="Y621" s="234"/>
      <c r="Z621" s="234"/>
      <c r="AA621" s="235"/>
      <c r="AB621" s="739">
        <f>L581</f>
        <v>58.417104339074477</v>
      </c>
      <c r="AC621" s="720"/>
      <c r="AD621" s="720"/>
      <c r="AE621" s="720"/>
      <c r="AF621" s="720"/>
      <c r="AG621" s="720"/>
      <c r="AH621" s="720" t="s">
        <v>12</v>
      </c>
      <c r="AI621" s="720"/>
      <c r="AJ621" s="720"/>
      <c r="AK621" s="296"/>
      <c r="AL621" s="310"/>
      <c r="AM621" s="299"/>
      <c r="AY621" s="329"/>
    </row>
    <row r="622" spans="1:51" s="305" customFormat="1" ht="14.5" x14ac:dyDescent="0.35">
      <c r="A622" s="299"/>
      <c r="B622" s="299"/>
      <c r="C622" s="768">
        <v>2</v>
      </c>
      <c r="D622" s="769"/>
      <c r="E622" s="216" t="s">
        <v>211</v>
      </c>
      <c r="F622" s="234"/>
      <c r="G622" s="234"/>
      <c r="H622" s="234"/>
      <c r="I622" s="234"/>
      <c r="J622" s="234"/>
      <c r="K622" s="234"/>
      <c r="L622" s="234"/>
      <c r="M622" s="234"/>
      <c r="N622" s="234"/>
      <c r="O622" s="234"/>
      <c r="P622" s="234"/>
      <c r="Q622" s="234"/>
      <c r="R622" s="234"/>
      <c r="S622" s="234"/>
      <c r="T622" s="234"/>
      <c r="U622" s="234"/>
      <c r="V622" s="234"/>
      <c r="W622" s="234"/>
      <c r="X622" s="234"/>
      <c r="Y622" s="234"/>
      <c r="Z622" s="234"/>
      <c r="AA622" s="235"/>
      <c r="AB622" s="772">
        <v>1000</v>
      </c>
      <c r="AC622" s="720"/>
      <c r="AD622" s="720"/>
      <c r="AE622" s="720"/>
      <c r="AF622" s="720"/>
      <c r="AG622" s="720"/>
      <c r="AH622" s="720" t="s">
        <v>2</v>
      </c>
      <c r="AI622" s="720"/>
      <c r="AJ622" s="720"/>
      <c r="AK622" s="296"/>
      <c r="AL622" s="310"/>
      <c r="AM622" s="299"/>
    </row>
    <row r="623" spans="1:51" s="305" customFormat="1" ht="14.5" x14ac:dyDescent="0.35">
      <c r="A623" s="299"/>
      <c r="B623" s="299"/>
      <c r="C623" s="768">
        <v>3</v>
      </c>
      <c r="D623" s="769"/>
      <c r="E623" s="216" t="s">
        <v>345</v>
      </c>
      <c r="F623" s="234"/>
      <c r="G623" s="234"/>
      <c r="H623" s="234"/>
      <c r="I623" s="234"/>
      <c r="J623" s="234"/>
      <c r="K623" s="234"/>
      <c r="L623" s="234"/>
      <c r="M623" s="234"/>
      <c r="N623" s="234"/>
      <c r="O623" s="234"/>
      <c r="P623" s="234"/>
      <c r="Q623" s="234"/>
      <c r="R623" s="234"/>
      <c r="S623" s="234"/>
      <c r="T623" s="234"/>
      <c r="U623" s="234"/>
      <c r="V623" s="234"/>
      <c r="W623" s="234"/>
      <c r="X623" s="234"/>
      <c r="Y623" s="234"/>
      <c r="Z623" s="234"/>
      <c r="AA623" s="235"/>
      <c r="AB623" s="772">
        <f>(AVERAGE(G110,AD111)*1000)</f>
        <v>475.00000000000006</v>
      </c>
      <c r="AC623" s="720"/>
      <c r="AD623" s="720"/>
      <c r="AE623" s="720"/>
      <c r="AF623" s="720"/>
      <c r="AG623" s="720"/>
      <c r="AH623" s="720" t="s">
        <v>2</v>
      </c>
      <c r="AI623" s="720"/>
      <c r="AJ623" s="720"/>
      <c r="AK623" s="296"/>
      <c r="AL623" s="310"/>
      <c r="AM623" s="299"/>
    </row>
    <row r="624" spans="1:51" s="305" customFormat="1" ht="14.5" x14ac:dyDescent="0.35">
      <c r="A624" s="299"/>
      <c r="B624" s="72"/>
      <c r="C624" s="768">
        <v>4</v>
      </c>
      <c r="D624" s="769"/>
      <c r="E624" s="236" t="s">
        <v>213</v>
      </c>
      <c r="F624" s="237"/>
      <c r="G624" s="237"/>
      <c r="H624" s="237"/>
      <c r="I624" s="237"/>
      <c r="J624" s="237"/>
      <c r="K624" s="237"/>
      <c r="L624" s="237"/>
      <c r="M624" s="237"/>
      <c r="N624" s="237"/>
      <c r="O624" s="234"/>
      <c r="P624" s="234"/>
      <c r="Q624" s="234"/>
      <c r="R624" s="234"/>
      <c r="S624" s="234"/>
      <c r="T624" s="234"/>
      <c r="U624" s="234"/>
      <c r="V624" s="234"/>
      <c r="W624" s="234"/>
      <c r="X624" s="234"/>
      <c r="Y624" s="234"/>
      <c r="Z624" s="234"/>
      <c r="AA624" s="235"/>
      <c r="AB624" s="805">
        <f>0.6*(1-(U43/310))</f>
        <v>0.55161290322580636</v>
      </c>
      <c r="AC624" s="689"/>
      <c r="AD624" s="689"/>
      <c r="AE624" s="689"/>
      <c r="AF624" s="689"/>
      <c r="AG624" s="689"/>
      <c r="AH624" s="720"/>
      <c r="AI624" s="720"/>
      <c r="AJ624" s="720"/>
      <c r="AK624" s="296"/>
      <c r="AL624" s="310"/>
    </row>
    <row r="625" spans="1:43" s="305" customFormat="1" ht="17" x14ac:dyDescent="0.3">
      <c r="A625" s="299"/>
      <c r="B625" s="72"/>
      <c r="C625" s="768">
        <v>5</v>
      </c>
      <c r="D625" s="769"/>
      <c r="E625" s="146" t="s">
        <v>239</v>
      </c>
      <c r="F625" s="144"/>
      <c r="G625" s="144"/>
      <c r="H625" s="144"/>
      <c r="I625" s="144"/>
      <c r="J625" s="144"/>
      <c r="K625" s="144"/>
      <c r="L625" s="144"/>
      <c r="M625" s="144"/>
      <c r="N625" s="144"/>
      <c r="O625" s="144"/>
      <c r="P625" s="144"/>
      <c r="Q625" s="144"/>
      <c r="R625" s="144"/>
      <c r="S625" s="144"/>
      <c r="T625" s="144"/>
      <c r="U625" s="144"/>
      <c r="V625" s="144"/>
      <c r="W625" s="144"/>
      <c r="X625" s="144"/>
      <c r="Y625" s="144"/>
      <c r="Z625" s="144"/>
      <c r="AA625" s="105"/>
      <c r="AB625" s="775">
        <f>(0.5*AB622*AB623*AB624*U53)/1000</f>
        <v>1462.9233870967741</v>
      </c>
      <c r="AC625" s="776"/>
      <c r="AD625" s="776"/>
      <c r="AE625" s="776"/>
      <c r="AF625" s="776"/>
      <c r="AG625" s="776"/>
      <c r="AH625" s="729" t="s">
        <v>12</v>
      </c>
      <c r="AI625" s="729"/>
      <c r="AJ625" s="729"/>
      <c r="AK625" s="296"/>
      <c r="AL625" s="241"/>
      <c r="AM625" s="705" t="str">
        <f>IF(AB621&lt;AB625,"Safe","Not Safe")</f>
        <v>Safe</v>
      </c>
      <c r="AN625" s="706"/>
      <c r="AO625" s="706"/>
      <c r="AP625" s="706"/>
      <c r="AQ625" s="707"/>
    </row>
    <row r="626" spans="1:43" s="305" customFormat="1" ht="16" x14ac:dyDescent="0.3">
      <c r="A626" s="299"/>
      <c r="B626" s="72"/>
      <c r="C626" s="768">
        <v>6</v>
      </c>
      <c r="D626" s="769"/>
      <c r="E626" s="242" t="s">
        <v>214</v>
      </c>
      <c r="F626" s="243"/>
      <c r="G626" s="243"/>
      <c r="H626" s="243"/>
      <c r="I626" s="243"/>
      <c r="J626" s="243"/>
      <c r="K626" s="243"/>
      <c r="L626" s="243"/>
      <c r="M626" s="243"/>
      <c r="N626" s="243"/>
      <c r="O626" s="243"/>
      <c r="P626" s="243"/>
      <c r="Q626" s="243"/>
      <c r="R626" s="243"/>
      <c r="S626" s="243"/>
      <c r="T626" s="243"/>
      <c r="U626" s="243"/>
      <c r="V626" s="243"/>
      <c r="W626" s="243"/>
      <c r="X626" s="243"/>
      <c r="Y626" s="243"/>
      <c r="Z626" s="243"/>
      <c r="AA626" s="244"/>
      <c r="AB626" s="687">
        <f>AB623*AB622</f>
        <v>475000.00000000006</v>
      </c>
      <c r="AC626" s="688"/>
      <c r="AD626" s="688"/>
      <c r="AE626" s="688"/>
      <c r="AF626" s="688"/>
      <c r="AG626" s="688"/>
      <c r="AH626" s="688" t="s">
        <v>199</v>
      </c>
      <c r="AI626" s="688"/>
      <c r="AJ626" s="688"/>
      <c r="AK626" s="306"/>
      <c r="AL626" s="308"/>
    </row>
    <row r="627" spans="1:43" s="305" customFormat="1" ht="14.5" x14ac:dyDescent="0.35">
      <c r="A627" s="299"/>
      <c r="B627" s="72"/>
      <c r="C627" s="245"/>
      <c r="D627" s="246"/>
      <c r="E627" s="246" t="s">
        <v>240</v>
      </c>
      <c r="F627" s="246"/>
      <c r="G627" s="246"/>
      <c r="H627" s="246"/>
      <c r="I627" s="246"/>
      <c r="J627" s="246"/>
      <c r="K627" s="246"/>
      <c r="L627" s="246"/>
      <c r="M627" s="246"/>
      <c r="N627" s="246"/>
      <c r="O627" s="246"/>
      <c r="P627" s="246"/>
      <c r="Q627" s="246"/>
      <c r="R627" s="246"/>
      <c r="S627" s="246"/>
      <c r="T627" s="246"/>
      <c r="U627" s="246"/>
      <c r="V627" s="246"/>
      <c r="W627" s="246"/>
      <c r="X627" s="246"/>
      <c r="Y627" s="246"/>
      <c r="Z627" s="246"/>
      <c r="AA627" s="246"/>
      <c r="AB627" s="246"/>
      <c r="AC627" s="246"/>
      <c r="AD627" s="246"/>
      <c r="AE627" s="246"/>
      <c r="AF627" s="246"/>
      <c r="AG627" s="246"/>
      <c r="AH627" s="246"/>
      <c r="AI627" s="246"/>
      <c r="AJ627" s="246"/>
      <c r="AK627" s="246"/>
      <c r="AL627" s="247"/>
    </row>
    <row r="628" spans="1:43" s="305" customFormat="1" ht="17" x14ac:dyDescent="0.45">
      <c r="A628" s="299"/>
      <c r="B628" s="72"/>
      <c r="C628" s="768">
        <v>7</v>
      </c>
      <c r="D628" s="769"/>
      <c r="E628" s="216" t="s">
        <v>215</v>
      </c>
      <c r="F628" s="217"/>
      <c r="G628" s="217"/>
      <c r="H628" s="217"/>
      <c r="I628" s="217"/>
      <c r="J628" s="217"/>
      <c r="K628" s="217"/>
      <c r="L628" s="217"/>
      <c r="M628" s="217"/>
      <c r="N628" s="217"/>
      <c r="O628" s="217"/>
      <c r="P628" s="217"/>
      <c r="Q628" s="217"/>
      <c r="R628" s="217"/>
      <c r="S628" s="217"/>
      <c r="T628" s="217"/>
      <c r="U628" s="217"/>
      <c r="V628" s="217"/>
      <c r="W628" s="217"/>
      <c r="X628" s="217"/>
      <c r="Y628" s="217"/>
      <c r="Z628" s="217"/>
      <c r="AA628" s="218"/>
      <c r="AB628" s="805">
        <f>0.2*U53</f>
        <v>2.2333333333333334</v>
      </c>
      <c r="AC628" s="689"/>
      <c r="AD628" s="689"/>
      <c r="AE628" s="689"/>
      <c r="AF628" s="689"/>
      <c r="AG628" s="689"/>
      <c r="AH628" s="729" t="s">
        <v>216</v>
      </c>
      <c r="AI628" s="729"/>
      <c r="AJ628" s="729"/>
      <c r="AK628" s="296"/>
      <c r="AL628" s="310"/>
    </row>
    <row r="629" spans="1:43" s="305" customFormat="1" x14ac:dyDescent="0.3">
      <c r="A629" s="299"/>
      <c r="B629" s="72"/>
      <c r="C629" s="768">
        <v>8</v>
      </c>
      <c r="D629" s="769"/>
      <c r="E629" s="216" t="s">
        <v>217</v>
      </c>
      <c r="F629" s="217"/>
      <c r="G629" s="217"/>
      <c r="H629" s="217"/>
      <c r="I629" s="217"/>
      <c r="J629" s="217"/>
      <c r="K629" s="217"/>
      <c r="L629" s="217"/>
      <c r="M629" s="217"/>
      <c r="N629" s="217"/>
      <c r="O629" s="217"/>
      <c r="P629" s="217"/>
      <c r="Q629" s="217"/>
      <c r="R629" s="217"/>
      <c r="S629" s="217"/>
      <c r="T629" s="217"/>
      <c r="U629" s="217"/>
      <c r="V629" s="217"/>
      <c r="W629" s="217"/>
      <c r="X629" s="217"/>
      <c r="Y629" s="217"/>
      <c r="Z629" s="217"/>
      <c r="AA629" s="218"/>
      <c r="AB629" s="739">
        <f>MIN((1+SQRT(200/AB623)),2)</f>
        <v>1.6488856845230502</v>
      </c>
      <c r="AC629" s="740"/>
      <c r="AD629" s="740"/>
      <c r="AE629" s="740"/>
      <c r="AF629" s="740"/>
      <c r="AG629" s="740"/>
      <c r="AH629" s="720"/>
      <c r="AI629" s="720"/>
      <c r="AJ629" s="720"/>
      <c r="AK629" s="296"/>
      <c r="AL629" s="310"/>
    </row>
    <row r="630" spans="1:43" s="305" customFormat="1" ht="18.5" x14ac:dyDescent="0.3">
      <c r="A630" s="299"/>
      <c r="B630" s="72"/>
      <c r="C630" s="768">
        <v>9</v>
      </c>
      <c r="D630" s="769"/>
      <c r="E630" s="238" t="s">
        <v>218</v>
      </c>
      <c r="F630" s="239"/>
      <c r="G630" s="239"/>
      <c r="H630" s="239"/>
      <c r="I630" s="239"/>
      <c r="J630" s="239"/>
      <c r="K630" s="239"/>
      <c r="L630" s="239"/>
      <c r="M630" s="239"/>
      <c r="N630" s="239"/>
      <c r="O630" s="239"/>
      <c r="P630" s="239"/>
      <c r="Q630" s="239"/>
      <c r="R630" s="239"/>
      <c r="S630" s="239"/>
      <c r="T630" s="239"/>
      <c r="U630" s="239"/>
      <c r="V630" s="239"/>
      <c r="W630" s="239"/>
      <c r="X630" s="239"/>
      <c r="Y630" s="239"/>
      <c r="Z630" s="239"/>
      <c r="AA630" s="240"/>
      <c r="AB630" s="739">
        <f>AB602/AB626</f>
        <v>1.6534698176788383E-3</v>
      </c>
      <c r="AC630" s="740"/>
      <c r="AD630" s="740"/>
      <c r="AE630" s="740"/>
      <c r="AF630" s="740"/>
      <c r="AG630" s="740"/>
      <c r="AH630" s="720"/>
      <c r="AI630" s="720"/>
      <c r="AJ630" s="720"/>
      <c r="AK630" s="296"/>
      <c r="AL630" s="310"/>
    </row>
    <row r="631" spans="1:43" s="305" customFormat="1" ht="17.5" x14ac:dyDescent="0.45">
      <c r="A631" s="299"/>
      <c r="B631" s="72"/>
      <c r="C631" s="768">
        <v>10</v>
      </c>
      <c r="D631" s="769"/>
      <c r="E631" s="216" t="s">
        <v>219</v>
      </c>
      <c r="F631" s="217"/>
      <c r="G631" s="217"/>
      <c r="H631" s="217"/>
      <c r="I631" s="217"/>
      <c r="J631" s="217"/>
      <c r="K631" s="217"/>
      <c r="L631" s="217"/>
      <c r="M631" s="217"/>
      <c r="N631" s="217"/>
      <c r="O631" s="217"/>
      <c r="P631" s="217"/>
      <c r="Q631" s="217"/>
      <c r="R631" s="217"/>
      <c r="S631" s="217"/>
      <c r="T631" s="217"/>
      <c r="U631" s="217"/>
      <c r="V631" s="217"/>
      <c r="W631" s="217"/>
      <c r="X631" s="217"/>
      <c r="Y631" s="217"/>
      <c r="Z631" s="217"/>
      <c r="AA631" s="218"/>
      <c r="AB631" s="739">
        <f>0.031*(AB629^(3/2))*(U43^(1/2))</f>
        <v>0.32818408722875969</v>
      </c>
      <c r="AC631" s="740"/>
      <c r="AD631" s="740"/>
      <c r="AE631" s="740"/>
      <c r="AF631" s="740"/>
      <c r="AG631" s="740"/>
      <c r="AH631" s="720" t="s">
        <v>216</v>
      </c>
      <c r="AI631" s="720"/>
      <c r="AJ631" s="720"/>
      <c r="AK631" s="296"/>
      <c r="AL631" s="310"/>
    </row>
    <row r="632" spans="1:43" s="305" customFormat="1" ht="16.5" x14ac:dyDescent="0.4">
      <c r="A632" s="299"/>
      <c r="B632" s="72"/>
      <c r="C632" s="768">
        <v>11</v>
      </c>
      <c r="D632" s="769"/>
      <c r="E632" s="219" t="s">
        <v>220</v>
      </c>
      <c r="F632" s="220"/>
      <c r="G632" s="220"/>
      <c r="H632" s="220"/>
      <c r="I632" s="220"/>
      <c r="J632" s="220"/>
      <c r="K632" s="220"/>
      <c r="L632" s="220"/>
      <c r="M632" s="220"/>
      <c r="N632" s="220"/>
      <c r="O632" s="220"/>
      <c r="P632" s="220"/>
      <c r="Q632" s="220"/>
      <c r="R632" s="220"/>
      <c r="S632" s="220"/>
      <c r="T632" s="220"/>
      <c r="U632" s="220"/>
      <c r="V632" s="220"/>
      <c r="W632" s="220"/>
      <c r="X632" s="220"/>
      <c r="Y632" s="220"/>
      <c r="Z632" s="220"/>
      <c r="AA632" s="221"/>
      <c r="AB632" s="739">
        <f>0.12*AB629*(80*AB630*U43)^0.33</f>
        <v>0.29361785511417393</v>
      </c>
      <c r="AC632" s="740"/>
      <c r="AD632" s="740"/>
      <c r="AE632" s="740"/>
      <c r="AF632" s="740"/>
      <c r="AG632" s="740"/>
      <c r="AH632" s="720" t="s">
        <v>63</v>
      </c>
      <c r="AI632" s="720"/>
      <c r="AJ632" s="720"/>
      <c r="AK632" s="296"/>
      <c r="AL632" s="310"/>
    </row>
    <row r="633" spans="1:43" s="305" customFormat="1" ht="17" x14ac:dyDescent="0.45">
      <c r="A633" s="299"/>
      <c r="B633" s="72"/>
      <c r="C633" s="768">
        <v>12</v>
      </c>
      <c r="D633" s="769"/>
      <c r="E633" s="216" t="s">
        <v>221</v>
      </c>
      <c r="F633" s="217"/>
      <c r="G633" s="217"/>
      <c r="H633" s="217"/>
      <c r="I633" s="217"/>
      <c r="J633" s="217"/>
      <c r="K633" s="217"/>
      <c r="L633" s="217"/>
      <c r="M633" s="217"/>
      <c r="N633" s="217"/>
      <c r="O633" s="217"/>
      <c r="P633" s="217"/>
      <c r="Q633" s="217"/>
      <c r="R633" s="217"/>
      <c r="S633" s="217"/>
      <c r="T633" s="217"/>
      <c r="U633" s="217"/>
      <c r="V633" s="217"/>
      <c r="W633" s="217"/>
      <c r="X633" s="217"/>
      <c r="Y633" s="217"/>
      <c r="Z633" s="217"/>
      <c r="AA633" s="218"/>
      <c r="AB633" s="739">
        <f>((MIN(AB631:AG632)+0.15*AB628)*AB622*AB623)/1000</f>
        <v>298.59348117923264</v>
      </c>
      <c r="AC633" s="740"/>
      <c r="AD633" s="740"/>
      <c r="AE633" s="740"/>
      <c r="AF633" s="740"/>
      <c r="AG633" s="740"/>
      <c r="AH633" s="720" t="s">
        <v>12</v>
      </c>
      <c r="AI633" s="720"/>
      <c r="AJ633" s="720"/>
      <c r="AK633" s="296"/>
      <c r="AL633" s="310"/>
    </row>
    <row r="634" spans="1:43" s="305" customFormat="1" x14ac:dyDescent="0.3">
      <c r="A634" s="299"/>
      <c r="B634" s="72"/>
      <c r="C634" s="768">
        <v>13</v>
      </c>
      <c r="D634" s="769"/>
      <c r="E634" s="242" t="s">
        <v>222</v>
      </c>
      <c r="F634" s="243"/>
      <c r="G634" s="243"/>
      <c r="H634" s="243"/>
      <c r="I634" s="243"/>
      <c r="J634" s="243"/>
      <c r="K634" s="243"/>
      <c r="L634" s="243"/>
      <c r="M634" s="243"/>
      <c r="N634" s="243"/>
      <c r="O634" s="243"/>
      <c r="P634" s="243"/>
      <c r="Q634" s="243"/>
      <c r="R634" s="243"/>
      <c r="S634" s="243"/>
      <c r="T634" s="243"/>
      <c r="U634" s="243"/>
      <c r="V634" s="243"/>
      <c r="W634" s="243"/>
      <c r="X634" s="243"/>
      <c r="Y634" s="243"/>
      <c r="Z634" s="243"/>
      <c r="AA634" s="244"/>
      <c r="AB634" s="741" t="str">
        <f>IF(AB621&gt;AB633,"Yes","No")</f>
        <v>No</v>
      </c>
      <c r="AC634" s="742"/>
      <c r="AD634" s="742"/>
      <c r="AE634" s="742"/>
      <c r="AF634" s="742"/>
      <c r="AG634" s="742"/>
      <c r="AH634" s="166"/>
      <c r="AI634" s="166"/>
      <c r="AJ634" s="166"/>
      <c r="AK634" s="306"/>
      <c r="AL634" s="308"/>
    </row>
    <row r="635" spans="1:43" s="305" customFormat="1" ht="14.5" x14ac:dyDescent="0.35">
      <c r="A635" s="299"/>
      <c r="B635" s="72"/>
      <c r="C635" s="245"/>
      <c r="D635" s="246"/>
      <c r="E635" s="246" t="s">
        <v>223</v>
      </c>
      <c r="F635" s="246"/>
      <c r="G635" s="246"/>
      <c r="H635" s="246"/>
      <c r="I635" s="246"/>
      <c r="J635" s="246"/>
      <c r="K635" s="246"/>
      <c r="L635" s="246"/>
      <c r="M635" s="246"/>
      <c r="N635" s="246"/>
      <c r="O635" s="246"/>
      <c r="P635" s="246"/>
      <c r="Q635" s="246"/>
      <c r="R635" s="246"/>
      <c r="S635" s="246"/>
      <c r="T635" s="246"/>
      <c r="U635" s="246"/>
      <c r="V635" s="246"/>
      <c r="W635" s="246"/>
      <c r="X635" s="246"/>
      <c r="Y635" s="246"/>
      <c r="Z635" s="246"/>
      <c r="AA635" s="246"/>
      <c r="AB635" s="246"/>
      <c r="AC635" s="246"/>
      <c r="AD635" s="246"/>
      <c r="AE635" s="246"/>
      <c r="AF635" s="246"/>
      <c r="AG635" s="246"/>
      <c r="AH635" s="246"/>
      <c r="AI635" s="246"/>
      <c r="AJ635" s="246"/>
      <c r="AK635" s="246"/>
      <c r="AL635" s="247"/>
    </row>
    <row r="636" spans="1:43" s="305" customFormat="1" x14ac:dyDescent="0.3">
      <c r="A636" s="299"/>
      <c r="B636" s="72"/>
      <c r="C636" s="904">
        <v>14</v>
      </c>
      <c r="D636" s="905"/>
      <c r="E636" s="248" t="s">
        <v>224</v>
      </c>
      <c r="F636" s="249"/>
      <c r="G636" s="249"/>
      <c r="H636" s="249"/>
      <c r="I636" s="249"/>
      <c r="J636" s="249"/>
      <c r="K636" s="249"/>
      <c r="L636" s="249"/>
      <c r="M636" s="249"/>
      <c r="N636" s="249"/>
      <c r="O636" s="249"/>
      <c r="P636" s="249"/>
      <c r="Q636" s="249"/>
      <c r="R636" s="249"/>
      <c r="S636" s="249"/>
      <c r="T636" s="249"/>
      <c r="U636" s="249"/>
      <c r="V636" s="249"/>
      <c r="W636" s="249"/>
      <c r="X636" s="249"/>
      <c r="Y636" s="249"/>
      <c r="Z636" s="249"/>
      <c r="AA636" s="250"/>
      <c r="AB636" s="663">
        <f>IF(AB621&lt;AB633,0,AB621-AB633)</f>
        <v>0</v>
      </c>
      <c r="AC636" s="664"/>
      <c r="AD636" s="664"/>
      <c r="AE636" s="664"/>
      <c r="AF636" s="664"/>
      <c r="AG636" s="664"/>
      <c r="AH636" s="665" t="s">
        <v>12</v>
      </c>
      <c r="AI636" s="665"/>
      <c r="AJ636" s="665"/>
      <c r="AK636" s="303"/>
      <c r="AL636" s="309"/>
    </row>
    <row r="637" spans="1:43" s="305" customFormat="1" ht="14.5" x14ac:dyDescent="0.35">
      <c r="A637" s="299"/>
      <c r="B637" s="72"/>
      <c r="C637" s="768">
        <v>15</v>
      </c>
      <c r="D637" s="769"/>
      <c r="E637" s="222" t="s">
        <v>225</v>
      </c>
      <c r="F637" s="223"/>
      <c r="G637" s="223"/>
      <c r="H637" s="223"/>
      <c r="I637" s="223"/>
      <c r="J637" s="223"/>
      <c r="K637" s="223"/>
      <c r="L637" s="223"/>
      <c r="M637" s="223"/>
      <c r="N637" s="223"/>
      <c r="O637" s="223"/>
      <c r="P637" s="223"/>
      <c r="Q637" s="223"/>
      <c r="R637" s="223"/>
      <c r="S637" s="223"/>
      <c r="T637" s="223"/>
      <c r="U637" s="223"/>
      <c r="V637" s="223"/>
      <c r="W637" s="223"/>
      <c r="X637" s="223"/>
      <c r="Y637" s="223"/>
      <c r="Z637" s="223"/>
      <c r="AA637" s="224"/>
      <c r="AB637" s="779">
        <v>0</v>
      </c>
      <c r="AC637" s="780"/>
      <c r="AD637" s="780"/>
      <c r="AE637" s="780"/>
      <c r="AF637" s="780"/>
      <c r="AG637" s="780"/>
      <c r="AH637" s="720" t="s">
        <v>2</v>
      </c>
      <c r="AI637" s="720"/>
      <c r="AJ637" s="720"/>
      <c r="AK637" s="296"/>
      <c r="AL637" s="310"/>
    </row>
    <row r="638" spans="1:43" s="305" customFormat="1" ht="14.5" x14ac:dyDescent="0.35">
      <c r="A638" s="299"/>
      <c r="B638" s="72"/>
      <c r="C638" s="768">
        <v>16</v>
      </c>
      <c r="D638" s="769"/>
      <c r="E638" s="222" t="s">
        <v>226</v>
      </c>
      <c r="F638" s="223"/>
      <c r="G638" s="223"/>
      <c r="H638" s="223"/>
      <c r="I638" s="223"/>
      <c r="J638" s="223"/>
      <c r="K638" s="223"/>
      <c r="L638" s="223"/>
      <c r="M638" s="223"/>
      <c r="N638" s="223"/>
      <c r="O638" s="223"/>
      <c r="P638" s="223"/>
      <c r="Q638" s="223"/>
      <c r="R638" s="223"/>
      <c r="S638" s="223"/>
      <c r="T638" s="223"/>
      <c r="U638" s="223"/>
      <c r="V638" s="223"/>
      <c r="W638" s="223"/>
      <c r="X638" s="223"/>
      <c r="Y638" s="223"/>
      <c r="Z638" s="223"/>
      <c r="AA638" s="224"/>
      <c r="AB638" s="779">
        <v>1</v>
      </c>
      <c r="AC638" s="780"/>
      <c r="AD638" s="780"/>
      <c r="AE638" s="780"/>
      <c r="AF638" s="780"/>
      <c r="AG638" s="780"/>
      <c r="AH638" s="720"/>
      <c r="AI638" s="720"/>
      <c r="AJ638" s="720"/>
      <c r="AK638" s="296"/>
      <c r="AL638" s="310"/>
    </row>
    <row r="639" spans="1:43" s="305" customFormat="1" ht="14.5" x14ac:dyDescent="0.35">
      <c r="A639" s="299"/>
      <c r="B639" s="72"/>
      <c r="C639" s="768">
        <v>17</v>
      </c>
      <c r="D639" s="769"/>
      <c r="E639" s="222" t="s">
        <v>227</v>
      </c>
      <c r="F639" s="223"/>
      <c r="G639" s="223"/>
      <c r="H639" s="223"/>
      <c r="I639" s="223"/>
      <c r="J639" s="223"/>
      <c r="K639" s="223"/>
      <c r="L639" s="223"/>
      <c r="M639" s="223"/>
      <c r="N639" s="223"/>
      <c r="O639" s="223"/>
      <c r="P639" s="223"/>
      <c r="Q639" s="223"/>
      <c r="R639" s="223"/>
      <c r="S639" s="223"/>
      <c r="T639" s="223"/>
      <c r="U639" s="223"/>
      <c r="V639" s="223"/>
      <c r="W639" s="223"/>
      <c r="X639" s="223"/>
      <c r="Y639" s="223"/>
      <c r="Z639" s="223"/>
      <c r="AA639" s="224"/>
      <c r="AB639" s="779">
        <v>250</v>
      </c>
      <c r="AC639" s="780"/>
      <c r="AD639" s="780"/>
      <c r="AE639" s="780"/>
      <c r="AF639" s="780"/>
      <c r="AG639" s="780"/>
      <c r="AH639" s="720" t="s">
        <v>2</v>
      </c>
      <c r="AI639" s="720"/>
      <c r="AJ639" s="720"/>
      <c r="AK639" s="296"/>
      <c r="AL639" s="310"/>
    </row>
    <row r="640" spans="1:43" s="305" customFormat="1" ht="16" x14ac:dyDescent="0.3">
      <c r="A640" s="299"/>
      <c r="B640" s="72"/>
      <c r="C640" s="768">
        <v>18</v>
      </c>
      <c r="D640" s="769"/>
      <c r="E640" s="211" t="s">
        <v>228</v>
      </c>
      <c r="F640" s="184"/>
      <c r="G640" s="184"/>
      <c r="H640" s="184"/>
      <c r="I640" s="184"/>
      <c r="J640" s="184"/>
      <c r="K640" s="184"/>
      <c r="L640" s="184"/>
      <c r="M640" s="184"/>
      <c r="N640" s="184"/>
      <c r="O640" s="296"/>
      <c r="P640" s="296"/>
      <c r="Q640" s="296"/>
      <c r="R640" s="296"/>
      <c r="S640" s="296"/>
      <c r="T640" s="296"/>
      <c r="U640" s="296"/>
      <c r="V640" s="296"/>
      <c r="W640" s="296"/>
      <c r="X640" s="296"/>
      <c r="Y640" s="296"/>
      <c r="Z640" s="296"/>
      <c r="AA640" s="310"/>
      <c r="AB640" s="781" t="str">
        <f>IF(AB636=0,"---",((PI()/4*AB638*(AB637^2)*1000)/AB639))</f>
        <v>---</v>
      </c>
      <c r="AC640" s="782"/>
      <c r="AD640" s="782"/>
      <c r="AE640" s="782"/>
      <c r="AF640" s="782"/>
      <c r="AG640" s="782"/>
      <c r="AH640" s="720" t="s">
        <v>199</v>
      </c>
      <c r="AI640" s="720"/>
      <c r="AJ640" s="720"/>
      <c r="AK640" s="296"/>
      <c r="AL640" s="310"/>
    </row>
    <row r="641" spans="1:43" s="305" customFormat="1" x14ac:dyDescent="0.3">
      <c r="A641" s="299"/>
      <c r="B641" s="72"/>
      <c r="C641" s="768">
        <v>19</v>
      </c>
      <c r="D641" s="769"/>
      <c r="E641" s="216" t="s">
        <v>229</v>
      </c>
      <c r="F641" s="217"/>
      <c r="G641" s="217"/>
      <c r="H641" s="217"/>
      <c r="I641" s="217"/>
      <c r="J641" s="217"/>
      <c r="K641" s="217"/>
      <c r="L641" s="217"/>
      <c r="M641" s="217"/>
      <c r="N641" s="217"/>
      <c r="O641" s="296"/>
      <c r="P641" s="296"/>
      <c r="Q641" s="296"/>
      <c r="R641" s="296"/>
      <c r="S641" s="296"/>
      <c r="T641" s="296"/>
      <c r="U641" s="296"/>
      <c r="V641" s="296"/>
      <c r="W641" s="296"/>
      <c r="X641" s="296"/>
      <c r="Y641" s="296"/>
      <c r="Z641" s="296"/>
      <c r="AA641" s="310"/>
      <c r="AB641" s="781" t="str">
        <f>IF(AB636=0,"---",(AB640/((3.14*AB638*AB637^2)/4)))</f>
        <v>---</v>
      </c>
      <c r="AC641" s="782"/>
      <c r="AD641" s="782"/>
      <c r="AE641" s="782"/>
      <c r="AF641" s="782"/>
      <c r="AG641" s="782"/>
      <c r="AH641" s="720"/>
      <c r="AI641" s="720"/>
      <c r="AJ641" s="720"/>
      <c r="AK641" s="296"/>
      <c r="AL641" s="310"/>
    </row>
    <row r="642" spans="1:43" s="305" customFormat="1" ht="17" x14ac:dyDescent="0.45">
      <c r="A642" s="299"/>
      <c r="B642" s="72"/>
      <c r="C642" s="768">
        <v>20</v>
      </c>
      <c r="D642" s="769"/>
      <c r="E642" s="226" t="s">
        <v>230</v>
      </c>
      <c r="F642" s="227"/>
      <c r="G642" s="227"/>
      <c r="H642" s="227"/>
      <c r="I642" s="227"/>
      <c r="J642" s="227"/>
      <c r="K642" s="227"/>
      <c r="L642" s="227"/>
      <c r="M642" s="227"/>
      <c r="N642" s="227"/>
      <c r="O642" s="296"/>
      <c r="P642" s="296"/>
      <c r="Q642" s="296"/>
      <c r="R642" s="296"/>
      <c r="S642" s="296"/>
      <c r="T642" s="296"/>
      <c r="U642" s="296"/>
      <c r="V642" s="296"/>
      <c r="W642" s="296"/>
      <c r="X642" s="296"/>
      <c r="Y642" s="296"/>
      <c r="Z642" s="296"/>
      <c r="AA642" s="310"/>
      <c r="AB642" s="745">
        <v>1.2</v>
      </c>
      <c r="AC642" s="746"/>
      <c r="AD642" s="746"/>
      <c r="AE642" s="746"/>
      <c r="AF642" s="746"/>
      <c r="AG642" s="746"/>
      <c r="AH642" s="720"/>
      <c r="AI642" s="720"/>
      <c r="AJ642" s="720"/>
      <c r="AK642" s="296"/>
      <c r="AL642" s="310"/>
    </row>
    <row r="643" spans="1:43" s="305" customFormat="1" ht="14.5" x14ac:dyDescent="0.35">
      <c r="A643" s="299"/>
      <c r="B643" s="72"/>
      <c r="C643" s="768">
        <v>21</v>
      </c>
      <c r="D643" s="769"/>
      <c r="E643" s="222" t="s">
        <v>231</v>
      </c>
      <c r="F643" s="223"/>
      <c r="G643" s="223"/>
      <c r="H643" s="223"/>
      <c r="I643" s="223"/>
      <c r="J643" s="223"/>
      <c r="K643" s="223"/>
      <c r="L643" s="223"/>
      <c r="M643" s="223"/>
      <c r="N643" s="223"/>
      <c r="O643" s="296"/>
      <c r="P643" s="296"/>
      <c r="Q643" s="296"/>
      <c r="R643" s="296"/>
      <c r="S643" s="296"/>
      <c r="T643" s="296"/>
      <c r="U643" s="296"/>
      <c r="V643" s="296"/>
      <c r="W643" s="296"/>
      <c r="X643" s="296"/>
      <c r="Y643" s="144"/>
      <c r="Z643" s="144"/>
      <c r="AA643" s="105"/>
      <c r="AB643" s="777" t="str">
        <f>IF(AB636=0,"---",(0.9*AB623*1000))</f>
        <v>---</v>
      </c>
      <c r="AC643" s="778"/>
      <c r="AD643" s="778"/>
      <c r="AE643" s="778"/>
      <c r="AF643" s="778"/>
      <c r="AG643" s="778"/>
      <c r="AH643" s="720" t="s">
        <v>2</v>
      </c>
      <c r="AI643" s="720"/>
      <c r="AJ643" s="720"/>
      <c r="AK643" s="296"/>
      <c r="AL643" s="310"/>
    </row>
    <row r="644" spans="1:43" s="305" customFormat="1" ht="16.5" x14ac:dyDescent="0.45">
      <c r="A644" s="299"/>
      <c r="B644" s="72"/>
      <c r="C644" s="768">
        <v>22</v>
      </c>
      <c r="D644" s="769"/>
      <c r="E644" s="222" t="s">
        <v>232</v>
      </c>
      <c r="F644" s="223"/>
      <c r="G644" s="223"/>
      <c r="H644" s="223"/>
      <c r="I644" s="223"/>
      <c r="J644" s="223"/>
      <c r="K644" s="223"/>
      <c r="L644" s="223"/>
      <c r="M644" s="223"/>
      <c r="N644" s="223"/>
      <c r="O644" s="296"/>
      <c r="P644" s="296"/>
      <c r="Q644" s="296"/>
      <c r="R644" s="296"/>
      <c r="S644" s="296"/>
      <c r="T644" s="296"/>
      <c r="U644" s="296"/>
      <c r="V644" s="296"/>
      <c r="W644" s="296"/>
      <c r="X644" s="296"/>
      <c r="Y644" s="296"/>
      <c r="Z644" s="296"/>
      <c r="AA644" s="310"/>
      <c r="AB644" s="713" t="str">
        <f>IF(AB636=0,"---",AB624)</f>
        <v>---</v>
      </c>
      <c r="AC644" s="714"/>
      <c r="AD644" s="714"/>
      <c r="AE644" s="714"/>
      <c r="AF644" s="714"/>
      <c r="AG644" s="714"/>
      <c r="AH644" s="720"/>
      <c r="AI644" s="720"/>
      <c r="AJ644" s="720"/>
      <c r="AK644" s="296"/>
      <c r="AL644" s="310"/>
    </row>
    <row r="645" spans="1:43" s="305" customFormat="1" ht="14.5" x14ac:dyDescent="0.35">
      <c r="A645" s="299"/>
      <c r="B645" s="72"/>
      <c r="C645" s="768">
        <v>23</v>
      </c>
      <c r="D645" s="769"/>
      <c r="E645" s="228" t="s">
        <v>233</v>
      </c>
      <c r="F645" s="229"/>
      <c r="G645" s="229"/>
      <c r="H645" s="229"/>
      <c r="I645" s="229"/>
      <c r="J645" s="229"/>
      <c r="K645" s="229"/>
      <c r="L645" s="229"/>
      <c r="M645" s="229"/>
      <c r="N645" s="229"/>
      <c r="O645" s="296"/>
      <c r="P645" s="296"/>
      <c r="Q645" s="296"/>
      <c r="R645" s="296"/>
      <c r="S645" s="296"/>
      <c r="T645" s="296"/>
      <c r="U645" s="296"/>
      <c r="V645" s="296"/>
      <c r="W645" s="296"/>
      <c r="X645" s="296"/>
      <c r="Y645" s="296"/>
      <c r="Z645" s="296"/>
      <c r="AA645" s="310"/>
      <c r="AB645" s="777">
        <f>IF(AB636&lt;(0.115*AB624*U43),21.8,45)</f>
        <v>21.8</v>
      </c>
      <c r="AC645" s="778"/>
      <c r="AD645" s="778"/>
      <c r="AE645" s="778"/>
      <c r="AF645" s="778"/>
      <c r="AG645" s="778"/>
      <c r="AH645" s="720" t="s">
        <v>172</v>
      </c>
      <c r="AI645" s="720"/>
      <c r="AJ645" s="720"/>
      <c r="AK645" s="296"/>
      <c r="AL645" s="310"/>
    </row>
    <row r="646" spans="1:43" s="305" customFormat="1" ht="14.5" x14ac:dyDescent="0.35">
      <c r="A646" s="299"/>
      <c r="B646" s="72"/>
      <c r="C646" s="768">
        <v>24</v>
      </c>
      <c r="D646" s="769"/>
      <c r="E646" s="222" t="s">
        <v>234</v>
      </c>
      <c r="F646" s="223"/>
      <c r="G646" s="223"/>
      <c r="H646" s="223"/>
      <c r="I646" s="223"/>
      <c r="J646" s="223"/>
      <c r="K646" s="223"/>
      <c r="L646" s="223"/>
      <c r="M646" s="223"/>
      <c r="N646" s="223"/>
      <c r="O646" s="296"/>
      <c r="P646" s="296"/>
      <c r="Q646" s="296"/>
      <c r="R646" s="296"/>
      <c r="S646" s="296"/>
      <c r="T646" s="296"/>
      <c r="U646" s="296"/>
      <c r="V646" s="296"/>
      <c r="W646" s="296"/>
      <c r="X646" s="296"/>
      <c r="Y646" s="296"/>
      <c r="Z646" s="296"/>
      <c r="AA646" s="310"/>
      <c r="AB646" s="739">
        <f>(COS(AB645*(PI()/180)))/(SIN(AB645*(PI()/180)))</f>
        <v>2.5001783622570013</v>
      </c>
      <c r="AC646" s="740"/>
      <c r="AD646" s="740"/>
      <c r="AE646" s="740"/>
      <c r="AF646" s="740"/>
      <c r="AG646" s="740"/>
      <c r="AH646" s="720" t="s">
        <v>172</v>
      </c>
      <c r="AI646" s="720"/>
      <c r="AJ646" s="720"/>
      <c r="AK646" s="296"/>
      <c r="AL646" s="310"/>
    </row>
    <row r="647" spans="1:43" s="305" customFormat="1" ht="14.5" x14ac:dyDescent="0.35">
      <c r="A647" s="299"/>
      <c r="B647" s="72"/>
      <c r="C647" s="768">
        <v>25</v>
      </c>
      <c r="D647" s="769"/>
      <c r="E647" s="222" t="s">
        <v>235</v>
      </c>
      <c r="F647" s="223"/>
      <c r="G647" s="223"/>
      <c r="H647" s="223"/>
      <c r="I647" s="223"/>
      <c r="J647" s="223"/>
      <c r="K647" s="223"/>
      <c r="L647" s="223"/>
      <c r="M647" s="223"/>
      <c r="N647" s="223"/>
      <c r="O647" s="296"/>
      <c r="P647" s="296"/>
      <c r="Q647" s="296"/>
      <c r="R647" s="296"/>
      <c r="S647" s="296"/>
      <c r="T647" s="296"/>
      <c r="U647" s="296"/>
      <c r="V647" s="296"/>
      <c r="W647" s="296"/>
      <c r="X647" s="296"/>
      <c r="Y647" s="296"/>
      <c r="Z647" s="296"/>
      <c r="AA647" s="310"/>
      <c r="AB647" s="739">
        <f>TAN(AB645*(PI()/180))</f>
        <v>0.39997146407477258</v>
      </c>
      <c r="AC647" s="740"/>
      <c r="AD647" s="740"/>
      <c r="AE647" s="740"/>
      <c r="AF647" s="740"/>
      <c r="AG647" s="740"/>
      <c r="AH647" s="720" t="s">
        <v>172</v>
      </c>
      <c r="AI647" s="720"/>
      <c r="AJ647" s="720"/>
      <c r="AK647" s="296"/>
      <c r="AL647" s="310"/>
    </row>
    <row r="648" spans="1:43" s="305" customFormat="1" ht="17" x14ac:dyDescent="0.45">
      <c r="A648" s="299"/>
      <c r="B648" s="72"/>
      <c r="C648" s="768">
        <v>26</v>
      </c>
      <c r="D648" s="769"/>
      <c r="E648" s="216" t="s">
        <v>236</v>
      </c>
      <c r="F648" s="217"/>
      <c r="G648" s="217"/>
      <c r="H648" s="217"/>
      <c r="I648" s="217"/>
      <c r="J648" s="217"/>
      <c r="K648" s="217"/>
      <c r="L648" s="217"/>
      <c r="M648" s="217"/>
      <c r="N648" s="217"/>
      <c r="O648" s="296"/>
      <c r="P648" s="296"/>
      <c r="Q648" s="296"/>
      <c r="R648" s="296"/>
      <c r="S648" s="296"/>
      <c r="T648" s="296"/>
      <c r="U648" s="296"/>
      <c r="V648" s="296"/>
      <c r="W648" s="296"/>
      <c r="X648" s="296"/>
      <c r="Y648" s="296"/>
      <c r="Z648" s="296"/>
      <c r="AA648" s="310"/>
      <c r="AB648" s="739" t="str">
        <f>IF(AB636=0,"---",(((AB640/AB639)*(AB643)*U46*AB646)/1000))</f>
        <v>---</v>
      </c>
      <c r="AC648" s="740"/>
      <c r="AD648" s="740"/>
      <c r="AE648" s="740"/>
      <c r="AF648" s="740"/>
      <c r="AG648" s="740"/>
      <c r="AH648" s="720" t="s">
        <v>12</v>
      </c>
      <c r="AI648" s="720"/>
      <c r="AJ648" s="720"/>
      <c r="AK648" s="296"/>
      <c r="AL648" s="310"/>
    </row>
    <row r="649" spans="1:43" s="305" customFormat="1" ht="16.5" x14ac:dyDescent="0.45">
      <c r="A649" s="299"/>
      <c r="B649" s="72"/>
      <c r="C649" s="768">
        <v>27</v>
      </c>
      <c r="D649" s="769"/>
      <c r="E649" s="222" t="s">
        <v>237</v>
      </c>
      <c r="F649" s="230"/>
      <c r="G649" s="230"/>
      <c r="H649" s="230"/>
      <c r="I649" s="230"/>
      <c r="J649" s="230"/>
      <c r="K649" s="230"/>
      <c r="L649" s="230"/>
      <c r="M649" s="230"/>
      <c r="N649" s="230"/>
      <c r="O649" s="296"/>
      <c r="P649" s="296"/>
      <c r="Q649" s="296"/>
      <c r="R649" s="296"/>
      <c r="S649" s="296"/>
      <c r="T649" s="296"/>
      <c r="U649" s="296"/>
      <c r="V649" s="296"/>
      <c r="W649" s="296"/>
      <c r="X649" s="296"/>
      <c r="Y649" s="296"/>
      <c r="Z649" s="296"/>
      <c r="AA649" s="310"/>
      <c r="AB649" s="702" t="str">
        <f>IF(AB636=0,"---",((AB642*AB622*AB643*AB644*(U53/(AB646+AB647)))/1000))</f>
        <v>---</v>
      </c>
      <c r="AC649" s="703"/>
      <c r="AD649" s="703"/>
      <c r="AE649" s="703"/>
      <c r="AF649" s="703"/>
      <c r="AG649" s="703"/>
      <c r="AH649" s="729" t="s">
        <v>12</v>
      </c>
      <c r="AI649" s="729"/>
      <c r="AJ649" s="729"/>
      <c r="AK649" s="296"/>
      <c r="AL649" s="310"/>
    </row>
    <row r="650" spans="1:43" s="305" customFormat="1" x14ac:dyDescent="0.3">
      <c r="A650" s="299"/>
      <c r="B650" s="72"/>
      <c r="C650" s="783">
        <v>28</v>
      </c>
      <c r="D650" s="784"/>
      <c r="E650" s="216" t="s">
        <v>238</v>
      </c>
      <c r="F650" s="217"/>
      <c r="G650" s="217"/>
      <c r="H650" s="217"/>
      <c r="I650" s="217"/>
      <c r="J650" s="217"/>
      <c r="K650" s="217"/>
      <c r="L650" s="217"/>
      <c r="M650" s="217"/>
      <c r="N650" s="217"/>
      <c r="O650" s="296"/>
      <c r="P650" s="296"/>
      <c r="Q650" s="296"/>
      <c r="R650" s="296"/>
      <c r="S650" s="296"/>
      <c r="T650" s="296"/>
      <c r="U650" s="296"/>
      <c r="V650" s="296"/>
      <c r="W650" s="296"/>
      <c r="X650" s="296"/>
      <c r="Y650" s="296"/>
      <c r="Z650" s="296"/>
      <c r="AA650" s="310"/>
      <c r="AB650" s="739">
        <f>MIN(AB648:AG649)</f>
        <v>0</v>
      </c>
      <c r="AC650" s="740"/>
      <c r="AD650" s="740"/>
      <c r="AE650" s="740"/>
      <c r="AF650" s="740"/>
      <c r="AG650" s="740"/>
      <c r="AH650" s="720" t="s">
        <v>12</v>
      </c>
      <c r="AI650" s="720"/>
      <c r="AJ650" s="720"/>
      <c r="AK650" s="296"/>
      <c r="AL650" s="241"/>
      <c r="AM650" s="705" t="str">
        <f>IF(AB636=0,"---",(IF(AB636&gt;AB650,"NOT Safe"," Safe")))</f>
        <v>---</v>
      </c>
      <c r="AN650" s="706"/>
      <c r="AO650" s="706"/>
      <c r="AP650" s="706"/>
      <c r="AQ650" s="707"/>
    </row>
    <row r="651" spans="1:43" s="305" customFormat="1" x14ac:dyDescent="0.35">
      <c r="A651" s="299"/>
      <c r="B651" s="72"/>
      <c r="C651" s="299"/>
      <c r="H651" s="73"/>
    </row>
    <row r="652" spans="1:43" s="424" customFormat="1" x14ac:dyDescent="0.35">
      <c r="A652" s="431"/>
      <c r="B652" s="72"/>
      <c r="C652" s="431"/>
      <c r="H652" s="73"/>
    </row>
    <row r="653" spans="1:43" x14ac:dyDescent="0.35">
      <c r="A653" s="42"/>
      <c r="B653" s="72">
        <v>6</v>
      </c>
      <c r="C653" s="42"/>
      <c r="H653" s="73" t="s">
        <v>74</v>
      </c>
    </row>
    <row r="654" spans="1:43" x14ac:dyDescent="0.35">
      <c r="A654" s="42"/>
      <c r="B654" s="42"/>
      <c r="C654" s="42"/>
      <c r="R654" s="695">
        <f>T98</f>
        <v>0.3</v>
      </c>
      <c r="S654" s="695"/>
      <c r="T654" s="36" t="s">
        <v>1</v>
      </c>
    </row>
    <row r="655" spans="1:43" x14ac:dyDescent="0.35">
      <c r="A655" s="42"/>
      <c r="B655" s="42"/>
      <c r="C655" s="42"/>
    </row>
    <row r="656" spans="1:43" x14ac:dyDescent="0.35">
      <c r="A656" s="42"/>
      <c r="B656" s="42"/>
      <c r="C656" s="42"/>
      <c r="R656" s="107"/>
      <c r="S656" s="107"/>
      <c r="T656" s="108"/>
    </row>
    <row r="657" spans="1:41" x14ac:dyDescent="0.35">
      <c r="A657" s="42"/>
      <c r="B657" s="42"/>
      <c r="C657" s="42"/>
      <c r="R657" s="42"/>
      <c r="S657" s="42"/>
      <c r="T657" s="124"/>
      <c r="W657" s="695" t="e">
        <f>#REF!</f>
        <v>#REF!</v>
      </c>
      <c r="X657" s="695"/>
      <c r="Y657" s="86" t="s">
        <v>75</v>
      </c>
      <c r="Z657" s="86"/>
      <c r="AA657" s="86"/>
    </row>
    <row r="658" spans="1:41" x14ac:dyDescent="0.35">
      <c r="A658" s="42"/>
      <c r="B658" s="42"/>
      <c r="C658" s="42"/>
      <c r="R658" s="42"/>
      <c r="S658" s="42"/>
      <c r="T658" s="124"/>
      <c r="Y658" s="695" t="e">
        <f>#REF!&amp;#REF!</f>
        <v>#REF!</v>
      </c>
      <c r="Z658" s="695"/>
      <c r="AA658" s="695"/>
      <c r="AB658" s="695"/>
    </row>
    <row r="659" spans="1:41" x14ac:dyDescent="0.35">
      <c r="A659" s="42"/>
      <c r="B659" s="42"/>
      <c r="C659" s="42"/>
      <c r="I659" s="695" t="e">
        <f>#REF!</f>
        <v>#REF!</v>
      </c>
      <c r="J659" s="695"/>
      <c r="K659" s="86" t="s">
        <v>75</v>
      </c>
      <c r="L659" s="86"/>
      <c r="M659" s="86"/>
      <c r="R659" s="42"/>
      <c r="S659" s="42"/>
      <c r="T659" s="124"/>
      <c r="W659" s="695" t="e">
        <f>#REF!</f>
        <v>#REF!</v>
      </c>
      <c r="X659" s="695"/>
      <c r="Y659" s="86" t="s">
        <v>75</v>
      </c>
      <c r="Z659" s="86"/>
      <c r="AA659" s="86"/>
    </row>
    <row r="660" spans="1:41" x14ac:dyDescent="0.35">
      <c r="A660" s="42"/>
      <c r="B660" s="42"/>
      <c r="C660" s="42"/>
      <c r="K660" s="695" t="e">
        <f>#REF!&amp;#REF!</f>
        <v>#REF!</v>
      </c>
      <c r="L660" s="695"/>
      <c r="M660" s="695"/>
      <c r="N660" s="695"/>
      <c r="R660" s="42"/>
      <c r="S660" s="42"/>
      <c r="T660" s="124"/>
      <c r="Y660" s="695" t="e">
        <f>#REF!&amp;#REF!</f>
        <v>#REF!</v>
      </c>
      <c r="Z660" s="695"/>
      <c r="AA660" s="695"/>
      <c r="AB660" s="695"/>
    </row>
    <row r="661" spans="1:41" x14ac:dyDescent="0.35">
      <c r="A661" s="42"/>
      <c r="B661" s="42"/>
      <c r="C661" s="42"/>
      <c r="R661" s="42"/>
      <c r="S661" s="42"/>
      <c r="T661" s="124"/>
    </row>
    <row r="662" spans="1:41" x14ac:dyDescent="0.35">
      <c r="A662" s="42"/>
      <c r="B662" s="42"/>
      <c r="C662" s="42"/>
      <c r="R662" s="42"/>
      <c r="S662" s="42"/>
      <c r="T662" s="124"/>
      <c r="AM662" s="737">
        <f>G104+G110</f>
        <v>4</v>
      </c>
      <c r="AN662" s="695"/>
      <c r="AO662" s="36" t="s">
        <v>1</v>
      </c>
    </row>
    <row r="663" spans="1:41" x14ac:dyDescent="0.35">
      <c r="A663" s="42"/>
      <c r="B663" s="42"/>
      <c r="C663" s="42"/>
      <c r="R663" s="42"/>
      <c r="S663" s="42"/>
      <c r="T663" s="124"/>
      <c r="AI663" s="737">
        <f>G104</f>
        <v>3.45</v>
      </c>
      <c r="AJ663" s="695"/>
      <c r="AK663" s="36" t="s">
        <v>1</v>
      </c>
    </row>
    <row r="664" spans="1:41" x14ac:dyDescent="0.35">
      <c r="A664" s="42"/>
      <c r="B664" s="42"/>
      <c r="C664" s="42"/>
      <c r="D664" s="695" t="e">
        <f>#REF!</f>
        <v>#REF!</v>
      </c>
      <c r="E664" s="695"/>
      <c r="F664" s="86" t="s">
        <v>75</v>
      </c>
      <c r="G664" s="86"/>
      <c r="H664" s="86"/>
      <c r="R664" s="42"/>
      <c r="S664" s="42"/>
      <c r="T664" s="124"/>
      <c r="V664" s="695" t="e">
        <f>#REF!</f>
        <v>#REF!</v>
      </c>
      <c r="W664" s="695"/>
      <c r="X664" s="86" t="s">
        <v>75</v>
      </c>
      <c r="Y664" s="86"/>
      <c r="Z664" s="86"/>
    </row>
    <row r="665" spans="1:41" ht="15" customHeight="1" x14ac:dyDescent="0.35">
      <c r="A665" s="42"/>
      <c r="B665" s="42"/>
      <c r="C665" s="42"/>
      <c r="F665" s="695" t="e">
        <f>#REF!&amp;#REF!</f>
        <v>#REF!</v>
      </c>
      <c r="G665" s="695"/>
      <c r="H665" s="695"/>
      <c r="I665" s="695"/>
      <c r="R665" s="42"/>
      <c r="S665" s="42"/>
      <c r="T665" s="124"/>
      <c r="X665" s="695" t="e">
        <f>#REF!&amp;#REF!</f>
        <v>#REF!</v>
      </c>
      <c r="Y665" s="695"/>
      <c r="Z665" s="695"/>
      <c r="AA665" s="695"/>
    </row>
    <row r="666" spans="1:41" x14ac:dyDescent="0.35">
      <c r="A666" s="42"/>
      <c r="B666" s="42"/>
      <c r="C666" s="42"/>
      <c r="R666" s="42"/>
      <c r="S666" s="42"/>
      <c r="T666" s="124"/>
    </row>
    <row r="667" spans="1:41" x14ac:dyDescent="0.35">
      <c r="A667" s="42"/>
      <c r="B667" s="42"/>
      <c r="C667" s="42"/>
      <c r="H667" s="695" t="e">
        <f>#REF!</f>
        <v>#REF!</v>
      </c>
      <c r="I667" s="695"/>
      <c r="J667" s="86" t="s">
        <v>75</v>
      </c>
      <c r="K667" s="86"/>
      <c r="L667" s="86"/>
      <c r="R667" s="42"/>
      <c r="S667" s="42"/>
      <c r="T667" s="124"/>
      <c r="Y667" s="695" t="e">
        <f>#REF!</f>
        <v>#REF!</v>
      </c>
      <c r="Z667" s="695"/>
      <c r="AA667" s="86" t="s">
        <v>75</v>
      </c>
      <c r="AB667" s="86"/>
      <c r="AC667" s="86"/>
    </row>
    <row r="668" spans="1:41" x14ac:dyDescent="0.35">
      <c r="A668" s="42"/>
      <c r="B668" s="42"/>
      <c r="C668" s="42"/>
      <c r="L668" s="36" t="e">
        <f>#REF!&amp;#REF!</f>
        <v>#REF!</v>
      </c>
      <c r="R668" s="42"/>
      <c r="S668" s="42"/>
      <c r="T668" s="124"/>
      <c r="AA668" s="695" t="e">
        <f>#REF!&amp;#REF!</f>
        <v>#REF!</v>
      </c>
      <c r="AB668" s="695"/>
      <c r="AC668" s="695"/>
      <c r="AD668" s="695"/>
    </row>
    <row r="669" spans="1:41" x14ac:dyDescent="0.35">
      <c r="A669" s="42"/>
      <c r="B669" s="42"/>
      <c r="C669" s="42"/>
      <c r="I669" s="42"/>
      <c r="J669" s="42"/>
      <c r="K669" s="42"/>
      <c r="L669" s="42"/>
      <c r="M669" s="42"/>
      <c r="N669" s="42"/>
      <c r="O669" s="42"/>
      <c r="R669" s="42"/>
      <c r="S669" s="42"/>
      <c r="T669" s="42"/>
      <c r="U669" s="42"/>
      <c r="V669" s="42"/>
      <c r="W669" s="42"/>
      <c r="X669" s="42"/>
      <c r="Y669" s="42"/>
      <c r="Z669" s="42"/>
      <c r="AA669" s="42"/>
      <c r="AB669" s="42"/>
      <c r="AC669" s="42"/>
      <c r="AD669" s="42"/>
      <c r="AE669" s="42"/>
      <c r="AF669" s="42"/>
      <c r="AG669" s="42"/>
    </row>
    <row r="670" spans="1:41" x14ac:dyDescent="0.35">
      <c r="A670" s="42"/>
      <c r="B670" s="42"/>
      <c r="C670" s="42"/>
      <c r="E670" s="737">
        <f>G110</f>
        <v>0.55000000000000004</v>
      </c>
      <c r="F670" s="695"/>
      <c r="G670" s="36" t="s">
        <v>1</v>
      </c>
      <c r="I670" s="125"/>
      <c r="J670" s="42"/>
      <c r="K670" s="42"/>
      <c r="L670" s="42"/>
      <c r="M670" s="42"/>
      <c r="N670" s="42"/>
      <c r="O670" s="42"/>
      <c r="P670" s="42"/>
      <c r="Q670" s="42"/>
      <c r="R670" s="42"/>
      <c r="S670" s="42"/>
      <c r="T670" s="42"/>
      <c r="U670" s="42"/>
      <c r="V670" s="42"/>
      <c r="W670" s="42"/>
      <c r="X670" s="42"/>
      <c r="Y670" s="42"/>
      <c r="Z670" s="42"/>
      <c r="AA670" s="42"/>
      <c r="AB670" s="42"/>
      <c r="AC670" s="42"/>
      <c r="AD670" s="42"/>
      <c r="AE670" s="42"/>
      <c r="AF670" s="42"/>
      <c r="AG670" s="124"/>
      <c r="AI670" s="686">
        <f>AD111</f>
        <v>0.4</v>
      </c>
      <c r="AJ670" s="686"/>
      <c r="AK670" s="36" t="s">
        <v>1</v>
      </c>
    </row>
    <row r="671" spans="1:41" x14ac:dyDescent="0.35">
      <c r="A671" s="42"/>
      <c r="B671" s="42"/>
      <c r="C671" s="42"/>
      <c r="I671" s="126"/>
      <c r="J671" s="87"/>
      <c r="K671" s="87"/>
      <c r="L671" s="87"/>
      <c r="M671" s="87"/>
      <c r="N671" s="87"/>
      <c r="O671" s="87"/>
      <c r="P671" s="87"/>
      <c r="Q671" s="87"/>
      <c r="R671" s="87"/>
      <c r="S671" s="87"/>
      <c r="T671" s="87"/>
      <c r="U671" s="87"/>
      <c r="V671" s="87"/>
      <c r="W671" s="87"/>
      <c r="X671" s="87"/>
      <c r="Y671" s="87"/>
      <c r="Z671" s="87"/>
      <c r="AA671" s="87"/>
      <c r="AB671" s="87"/>
      <c r="AC671" s="87"/>
      <c r="AD671" s="87"/>
      <c r="AE671" s="87"/>
      <c r="AF671" s="87"/>
      <c r="AG671" s="127"/>
    </row>
    <row r="672" spans="1:41" x14ac:dyDescent="0.35">
      <c r="A672" s="42"/>
      <c r="B672" s="42"/>
      <c r="C672" s="42"/>
    </row>
    <row r="673" spans="1:28" x14ac:dyDescent="0.35">
      <c r="A673" s="42"/>
      <c r="B673" s="42"/>
      <c r="C673" s="42"/>
      <c r="K673" s="737">
        <f>P113</f>
        <v>0.7</v>
      </c>
      <c r="L673" s="695"/>
      <c r="M673" s="36" t="s">
        <v>1</v>
      </c>
      <c r="Q673" s="737">
        <f>T113</f>
        <v>0.5</v>
      </c>
      <c r="R673" s="695"/>
      <c r="S673" s="36" t="s">
        <v>1</v>
      </c>
      <c r="Y673" s="737">
        <f>Z113</f>
        <v>2.8</v>
      </c>
      <c r="Z673" s="695"/>
      <c r="AA673" s="695"/>
      <c r="AB673" s="36" t="s">
        <v>1</v>
      </c>
    </row>
  </sheetData>
  <mergeCells count="1462">
    <mergeCell ref="Y184:AA184"/>
    <mergeCell ref="Y186:AA186"/>
    <mergeCell ref="AE256:AH257"/>
    <mergeCell ref="F81:H81"/>
    <mergeCell ref="BA503:BE503"/>
    <mergeCell ref="C174:I175"/>
    <mergeCell ref="J174:O174"/>
    <mergeCell ref="P174:U174"/>
    <mergeCell ref="V174:AA174"/>
    <mergeCell ref="J175:O175"/>
    <mergeCell ref="P175:U175"/>
    <mergeCell ref="V175:AA175"/>
    <mergeCell ref="C176:I176"/>
    <mergeCell ref="J176:O176"/>
    <mergeCell ref="P176:U176"/>
    <mergeCell ref="V176:AA176"/>
    <mergeCell ref="C177:I177"/>
    <mergeCell ref="J177:O177"/>
    <mergeCell ref="P177:U177"/>
    <mergeCell ref="V177:AA177"/>
    <mergeCell ref="C178:I178"/>
    <mergeCell ref="J178:O178"/>
    <mergeCell ref="P178:U178"/>
    <mergeCell ref="V178:AA178"/>
    <mergeCell ref="AS394:AV394"/>
    <mergeCell ref="AS395:AV395"/>
    <mergeCell ref="AW200:BZ201"/>
    <mergeCell ref="AZ194:BE194"/>
    <mergeCell ref="BS202:BU202"/>
    <mergeCell ref="BF202:BG202"/>
    <mergeCell ref="BG203:BH203"/>
    <mergeCell ref="C279:N280"/>
    <mergeCell ref="K92:K93"/>
    <mergeCell ref="T98:V98"/>
    <mergeCell ref="T106:U106"/>
    <mergeCell ref="Y106:Z106"/>
    <mergeCell ref="C147:AM147"/>
    <mergeCell ref="C146:D146"/>
    <mergeCell ref="Z113:AB113"/>
    <mergeCell ref="BB167:BG167"/>
    <mergeCell ref="R92:R93"/>
    <mergeCell ref="L93:Q93"/>
    <mergeCell ref="L92:Q92"/>
    <mergeCell ref="AF150:AM150"/>
    <mergeCell ref="K150:L150"/>
    <mergeCell ref="Z151:AE151"/>
    <mergeCell ref="W161:Y161"/>
    <mergeCell ref="K151:L151"/>
    <mergeCell ref="AF141:AM142"/>
    <mergeCell ref="AF145:AM145"/>
    <mergeCell ref="H92:I93"/>
    <mergeCell ref="J92:J93"/>
    <mergeCell ref="T158:U158"/>
    <mergeCell ref="W158:Y158"/>
    <mergeCell ref="AF158:AM158"/>
    <mergeCell ref="AF159:AM159"/>
    <mergeCell ref="W160:Y160"/>
    <mergeCell ref="Z160:AE160"/>
    <mergeCell ref="W152:Y152"/>
    <mergeCell ref="X111:AC111"/>
    <mergeCell ref="W148:Y148"/>
    <mergeCell ref="Q159:R159"/>
    <mergeCell ref="Q158:R158"/>
    <mergeCell ref="Q149:R149"/>
    <mergeCell ref="AV27:BD28"/>
    <mergeCell ref="BE27:BL28"/>
    <mergeCell ref="BM27:BT28"/>
    <mergeCell ref="BE29:BG29"/>
    <mergeCell ref="BH29:BL29"/>
    <mergeCell ref="BM29:BO29"/>
    <mergeCell ref="BP29:BT29"/>
    <mergeCell ref="BH30:BL30"/>
    <mergeCell ref="BE30:BG30"/>
    <mergeCell ref="BM30:BO30"/>
    <mergeCell ref="BP30:BT30"/>
    <mergeCell ref="AF157:AM157"/>
    <mergeCell ref="K157:L157"/>
    <mergeCell ref="N157:O157"/>
    <mergeCell ref="Q157:R157"/>
    <mergeCell ref="T157:U157"/>
    <mergeCell ref="AF148:AM148"/>
    <mergeCell ref="U53:X53"/>
    <mergeCell ref="U54:X54"/>
    <mergeCell ref="K90:K91"/>
    <mergeCell ref="N90:O90"/>
    <mergeCell ref="P90:Q90"/>
    <mergeCell ref="R90:R91"/>
    <mergeCell ref="I95:K95"/>
    <mergeCell ref="H94:J94"/>
    <mergeCell ref="N155:O155"/>
    <mergeCell ref="Q155:R155"/>
    <mergeCell ref="T155:U155"/>
    <mergeCell ref="W155:Y155"/>
    <mergeCell ref="Z155:AE155"/>
    <mergeCell ref="AF155:AM155"/>
    <mergeCell ref="U76:W76"/>
    <mergeCell ref="AJ185:AN185"/>
    <mergeCell ref="AB185:AF185"/>
    <mergeCell ref="Y185:AA185"/>
    <mergeCell ref="O185:S185"/>
    <mergeCell ref="L185:N185"/>
    <mergeCell ref="S211:V212"/>
    <mergeCell ref="W211:Z212"/>
    <mergeCell ref="O235:S235"/>
    <mergeCell ref="AA218:AA219"/>
    <mergeCell ref="U217:X217"/>
    <mergeCell ref="L235:N235"/>
    <mergeCell ref="AE218:AH219"/>
    <mergeCell ref="P228:U228"/>
    <mergeCell ref="BP31:BT31"/>
    <mergeCell ref="U77:W77"/>
    <mergeCell ref="C425:D425"/>
    <mergeCell ref="AH378:AL378"/>
    <mergeCell ref="C377:D378"/>
    <mergeCell ref="Y381:AB381"/>
    <mergeCell ref="C383:D384"/>
    <mergeCell ref="E297:M297"/>
    <mergeCell ref="F319:AO320"/>
    <mergeCell ref="O290:R291"/>
    <mergeCell ref="Z404:AB404"/>
    <mergeCell ref="Q397:R397"/>
    <mergeCell ref="T397:Z397"/>
    <mergeCell ref="AB397:AD397"/>
    <mergeCell ref="AE397:AG397"/>
    <mergeCell ref="AH397:AL397"/>
    <mergeCell ref="C415:D416"/>
    <mergeCell ref="AS196:AY196"/>
    <mergeCell ref="AB256:AD257"/>
    <mergeCell ref="C426:D426"/>
    <mergeCell ref="C427:D427"/>
    <mergeCell ref="C432:D432"/>
    <mergeCell ref="AU347:AZ347"/>
    <mergeCell ref="T186:X186"/>
    <mergeCell ref="C258:N259"/>
    <mergeCell ref="AU348:AZ348"/>
    <mergeCell ref="AZ193:BE193"/>
    <mergeCell ref="BF193:BK193"/>
    <mergeCell ref="BL193:BQ193"/>
    <mergeCell ref="AZ197:BE197"/>
    <mergeCell ref="BF197:BK197"/>
    <mergeCell ref="BL197:BQ197"/>
    <mergeCell ref="AS195:AY195"/>
    <mergeCell ref="AI281:AK282"/>
    <mergeCell ref="V193:AA193"/>
    <mergeCell ref="V194:AA194"/>
    <mergeCell ref="S249:V250"/>
    <mergeCell ref="W249:Z250"/>
    <mergeCell ref="O258:R259"/>
    <mergeCell ref="V221:X221"/>
    <mergeCell ref="BO202:BR202"/>
    <mergeCell ref="BO203:BR203"/>
    <mergeCell ref="BL196:BQ196"/>
    <mergeCell ref="U215:X215"/>
    <mergeCell ref="C288:N289"/>
    <mergeCell ref="X290:Z290"/>
    <mergeCell ref="AA306:AB307"/>
    <mergeCell ref="AL215:AQ215"/>
    <mergeCell ref="AL217:AQ217"/>
    <mergeCell ref="AM216:AQ216"/>
    <mergeCell ref="AX186:BB186"/>
    <mergeCell ref="C391:D392"/>
    <mergeCell ref="AB391:AD392"/>
    <mergeCell ref="AE391:AG392"/>
    <mergeCell ref="C393:D395"/>
    <mergeCell ref="M394:N394"/>
    <mergeCell ref="P394:V394"/>
    <mergeCell ref="AB369:AD369"/>
    <mergeCell ref="AB370:AD371"/>
    <mergeCell ref="M395:N395"/>
    <mergeCell ref="AS375:AV375"/>
    <mergeCell ref="AS376:AV376"/>
    <mergeCell ref="C230:I230"/>
    <mergeCell ref="T218:V218"/>
    <mergeCell ref="C422:D422"/>
    <mergeCell ref="AS197:AY197"/>
    <mergeCell ref="C385:D386"/>
    <mergeCell ref="AB385:AD386"/>
    <mergeCell ref="AE385:AG386"/>
    <mergeCell ref="AH385:AL386"/>
    <mergeCell ref="M376:N376"/>
    <mergeCell ref="P376:V376"/>
    <mergeCell ref="C417:D417"/>
    <mergeCell ref="C419:D419"/>
    <mergeCell ref="C420:D420"/>
    <mergeCell ref="C228:I229"/>
    <mergeCell ref="AE283:AH283"/>
    <mergeCell ref="AE274:AH275"/>
    <mergeCell ref="O281:R282"/>
    <mergeCell ref="S281:V282"/>
    <mergeCell ref="O279:AK280"/>
    <mergeCell ref="AA256:AA257"/>
    <mergeCell ref="L238:N238"/>
    <mergeCell ref="BH167:BM167"/>
    <mergeCell ref="BN167:BS167"/>
    <mergeCell ref="BB168:BG168"/>
    <mergeCell ref="BH168:BM168"/>
    <mergeCell ref="BN168:BS168"/>
    <mergeCell ref="AU169:BA169"/>
    <mergeCell ref="BB169:BG169"/>
    <mergeCell ref="BH170:BM170"/>
    <mergeCell ref="BH169:BM169"/>
    <mergeCell ref="BN169:BS169"/>
    <mergeCell ref="AU170:BA170"/>
    <mergeCell ref="BB170:BG170"/>
    <mergeCell ref="J169:O169"/>
    <mergeCell ref="P169:U169"/>
    <mergeCell ref="V169:AA169"/>
    <mergeCell ref="R214:R215"/>
    <mergeCell ref="S214:S215"/>
    <mergeCell ref="BH171:BM171"/>
    <mergeCell ref="BL194:BQ194"/>
    <mergeCell ref="BN171:BS171"/>
    <mergeCell ref="AS193:AY194"/>
    <mergeCell ref="BS203:BU203"/>
    <mergeCell ref="AU167:BA168"/>
    <mergeCell ref="BN170:BS170"/>
    <mergeCell ref="AU171:BA171"/>
    <mergeCell ref="BB171:BG171"/>
    <mergeCell ref="AZ195:BE195"/>
    <mergeCell ref="BF195:BK195"/>
    <mergeCell ref="BL195:BQ195"/>
    <mergeCell ref="BF196:BK196"/>
    <mergeCell ref="AZ196:BE196"/>
    <mergeCell ref="L186:N186"/>
    <mergeCell ref="BF194:BK194"/>
    <mergeCell ref="AI211:AK212"/>
    <mergeCell ref="O211:R212"/>
    <mergeCell ref="AE216:AH217"/>
    <mergeCell ref="T216:T217"/>
    <mergeCell ref="AI213:AK213"/>
    <mergeCell ref="C209:N210"/>
    <mergeCell ref="O209:AK210"/>
    <mergeCell ref="C214:J215"/>
    <mergeCell ref="O213:Q213"/>
    <mergeCell ref="R213:S213"/>
    <mergeCell ref="U213:W213"/>
    <mergeCell ref="AE213:AH213"/>
    <mergeCell ref="C195:I195"/>
    <mergeCell ref="J195:O195"/>
    <mergeCell ref="P195:U195"/>
    <mergeCell ref="V195:AA195"/>
    <mergeCell ref="C200:K201"/>
    <mergeCell ref="L200:N200"/>
    <mergeCell ref="T214:T215"/>
    <mergeCell ref="C196:I196"/>
    <mergeCell ref="J196:O196"/>
    <mergeCell ref="P196:U196"/>
    <mergeCell ref="V196:AA196"/>
    <mergeCell ref="C197:I197"/>
    <mergeCell ref="S216:S217"/>
    <mergeCell ref="J197:O197"/>
    <mergeCell ref="P197:U197"/>
    <mergeCell ref="V197:AA197"/>
    <mergeCell ref="O204:S204"/>
    <mergeCell ref="O217:Q217"/>
    <mergeCell ref="AM214:AQ214"/>
    <mergeCell ref="AG186:AI186"/>
    <mergeCell ref="AI218:AK219"/>
    <mergeCell ref="AB218:AD219"/>
    <mergeCell ref="W216:Y216"/>
    <mergeCell ref="AI214:AK215"/>
    <mergeCell ref="AI216:AK217"/>
    <mergeCell ref="Z214:Z215"/>
    <mergeCell ref="Z216:Z217"/>
    <mergeCell ref="W214:Y214"/>
    <mergeCell ref="R457:S457"/>
    <mergeCell ref="X457:Y457"/>
    <mergeCell ref="AJ347:AL347"/>
    <mergeCell ref="AJ350:AL350"/>
    <mergeCell ref="C290:N291"/>
    <mergeCell ref="L310:M310"/>
    <mergeCell ref="O310:Q310"/>
    <mergeCell ref="AH394:AL395"/>
    <mergeCell ref="AH388:AL388"/>
    <mergeCell ref="C368:D368"/>
    <mergeCell ref="C369:D369"/>
    <mergeCell ref="C366:D367"/>
    <mergeCell ref="C389:D390"/>
    <mergeCell ref="S218:S219"/>
    <mergeCell ref="V219:X219"/>
    <mergeCell ref="O218:R219"/>
    <mergeCell ref="O216:Q216"/>
    <mergeCell ref="AI251:AK251"/>
    <mergeCell ref="C421:D421"/>
    <mergeCell ref="C424:D424"/>
    <mergeCell ref="O301:Q301"/>
    <mergeCell ref="C396:D397"/>
    <mergeCell ref="E396:AA396"/>
    <mergeCell ref="AU570:BA570"/>
    <mergeCell ref="BM480:BQ480"/>
    <mergeCell ref="BJ493:BM493"/>
    <mergeCell ref="BJ494:BM494"/>
    <mergeCell ref="T501:W501"/>
    <mergeCell ref="AB487:AD487"/>
    <mergeCell ref="AE487:AG487"/>
    <mergeCell ref="AH487:AL487"/>
    <mergeCell ref="AB484:AD485"/>
    <mergeCell ref="AE484:AG485"/>
    <mergeCell ref="C548:D548"/>
    <mergeCell ref="AB548:AG548"/>
    <mergeCell ref="C550:D550"/>
    <mergeCell ref="AH542:AJ542"/>
    <mergeCell ref="AB540:AG540"/>
    <mergeCell ref="C555:D555"/>
    <mergeCell ref="AB555:AG555"/>
    <mergeCell ref="AH555:AJ555"/>
    <mergeCell ref="AY486:BA486"/>
    <mergeCell ref="BN486:BP486"/>
    <mergeCell ref="BJ495:BL495"/>
    <mergeCell ref="T499:W499"/>
    <mergeCell ref="Y499:AA499"/>
    <mergeCell ref="AV491:BB491"/>
    <mergeCell ref="AW493:AY493"/>
    <mergeCell ref="AW494:AZ494"/>
    <mergeCell ref="AH563:AJ563"/>
    <mergeCell ref="C564:D564"/>
    <mergeCell ref="AB564:AG564"/>
    <mergeCell ref="AH564:AJ564"/>
    <mergeCell ref="C553:D553"/>
    <mergeCell ref="AB553:AG553"/>
    <mergeCell ref="BJ498:BL498"/>
    <mergeCell ref="C538:D538"/>
    <mergeCell ref="AB518:AD518"/>
    <mergeCell ref="AE518:AG518"/>
    <mergeCell ref="C519:D519"/>
    <mergeCell ref="AB519:AD519"/>
    <mergeCell ref="AH519:AL519"/>
    <mergeCell ref="R405:T405"/>
    <mergeCell ref="AB405:AD405"/>
    <mergeCell ref="R406:T406"/>
    <mergeCell ref="R407:T407"/>
    <mergeCell ref="E486:AA486"/>
    <mergeCell ref="Q487:R487"/>
    <mergeCell ref="T487:Z487"/>
    <mergeCell ref="AB537:AG537"/>
    <mergeCell ref="AU461:AW461"/>
    <mergeCell ref="C481:D482"/>
    <mergeCell ref="AB475:AD476"/>
    <mergeCell ref="AE475:AG476"/>
    <mergeCell ref="AH475:AL476"/>
    <mergeCell ref="AU515:BE516"/>
    <mergeCell ref="AS517:AV517"/>
    <mergeCell ref="AS525:AV525"/>
    <mergeCell ref="AS526:AV526"/>
    <mergeCell ref="AH478:AL478"/>
    <mergeCell ref="V465:W465"/>
    <mergeCell ref="AE467:AG467"/>
    <mergeCell ref="AB516:AD517"/>
    <mergeCell ref="AE519:AG519"/>
    <mergeCell ref="C483:D485"/>
    <mergeCell ref="T468:V468"/>
    <mergeCell ref="L464:N464"/>
    <mergeCell ref="BX485:BZ485"/>
    <mergeCell ref="W573:AD573"/>
    <mergeCell ref="AH573:AN573"/>
    <mergeCell ref="L203:N203"/>
    <mergeCell ref="O203:S203"/>
    <mergeCell ref="T203:X203"/>
    <mergeCell ref="L204:N204"/>
    <mergeCell ref="T236:X236"/>
    <mergeCell ref="AB220:AD221"/>
    <mergeCell ref="AE220:AH221"/>
    <mergeCell ref="AI220:AK221"/>
    <mergeCell ref="AE214:AH215"/>
    <mergeCell ref="AE211:AH212"/>
    <mergeCell ref="C256:N257"/>
    <mergeCell ref="O256:R257"/>
    <mergeCell ref="S256:S257"/>
    <mergeCell ref="T256:V256"/>
    <mergeCell ref="X256:Z256"/>
    <mergeCell ref="C563:D563"/>
    <mergeCell ref="AI274:AK275"/>
    <mergeCell ref="V275:X275"/>
    <mergeCell ref="V230:AA230"/>
    <mergeCell ref="C231:I231"/>
    <mergeCell ref="J231:O231"/>
    <mergeCell ref="P231:U231"/>
    <mergeCell ref="V231:AA231"/>
    <mergeCell ref="BJ496:BL496"/>
    <mergeCell ref="AW495:AY495"/>
    <mergeCell ref="AW496:AY496"/>
    <mergeCell ref="BI485:BK485"/>
    <mergeCell ref="AU514:AY514"/>
    <mergeCell ref="C516:D517"/>
    <mergeCell ref="AH636:AJ636"/>
    <mergeCell ref="C286:J287"/>
    <mergeCell ref="O286:Q286"/>
    <mergeCell ref="R286:R287"/>
    <mergeCell ref="S286:S287"/>
    <mergeCell ref="T286:T287"/>
    <mergeCell ref="W286:Y286"/>
    <mergeCell ref="Z286:Z287"/>
    <mergeCell ref="AA220:AA221"/>
    <mergeCell ref="O220:R221"/>
    <mergeCell ref="S220:S221"/>
    <mergeCell ref="T220:V220"/>
    <mergeCell ref="X220:Z220"/>
    <mergeCell ref="C218:N219"/>
    <mergeCell ref="C220:N221"/>
    <mergeCell ref="AM625:AQ625"/>
    <mergeCell ref="C626:D626"/>
    <mergeCell ref="AB626:AG626"/>
    <mergeCell ref="C274:N275"/>
    <mergeCell ref="O274:R275"/>
    <mergeCell ref="S274:S275"/>
    <mergeCell ref="T274:V274"/>
    <mergeCell ref="X274:Z274"/>
    <mergeCell ref="V584:W584"/>
    <mergeCell ref="L583:N583"/>
    <mergeCell ref="R583:T583"/>
    <mergeCell ref="V583:W583"/>
    <mergeCell ref="AE571:AG571"/>
    <mergeCell ref="C364:D365"/>
    <mergeCell ref="E364:AL365"/>
    <mergeCell ref="AB389:AD390"/>
    <mergeCell ref="AH537:AJ537"/>
    <mergeCell ref="AR602:AT602"/>
    <mergeCell ref="AR603:AT603"/>
    <mergeCell ref="L585:N585"/>
    <mergeCell ref="P230:U230"/>
    <mergeCell ref="L587:N587"/>
    <mergeCell ref="P587:R587"/>
    <mergeCell ref="L588:O588"/>
    <mergeCell ref="C591:D592"/>
    <mergeCell ref="E591:AL592"/>
    <mergeCell ref="A1:E2"/>
    <mergeCell ref="A3:E4"/>
    <mergeCell ref="F1:AQ2"/>
    <mergeCell ref="F3:AQ4"/>
    <mergeCell ref="U9:W9"/>
    <mergeCell ref="AI6:AI7"/>
    <mergeCell ref="R128:T128"/>
    <mergeCell ref="V128:X128"/>
    <mergeCell ref="L130:M130"/>
    <mergeCell ref="O130:Q130"/>
    <mergeCell ref="S130:U130"/>
    <mergeCell ref="W130:Y130"/>
    <mergeCell ref="L131:N131"/>
    <mergeCell ref="N128:P128"/>
    <mergeCell ref="T204:X204"/>
    <mergeCell ref="AJ184:AN184"/>
    <mergeCell ref="AJ186:AN186"/>
    <mergeCell ref="C182:K183"/>
    <mergeCell ref="C193:I194"/>
    <mergeCell ref="J193:O193"/>
    <mergeCell ref="C155:D155"/>
    <mergeCell ref="E155:I155"/>
    <mergeCell ref="K155:L155"/>
    <mergeCell ref="C650:D650"/>
    <mergeCell ref="AB650:AG650"/>
    <mergeCell ref="AH650:AJ650"/>
    <mergeCell ref="C638:D638"/>
    <mergeCell ref="AB638:AG638"/>
    <mergeCell ref="AH638:AJ638"/>
    <mergeCell ref="C639:D639"/>
    <mergeCell ref="AB639:AG639"/>
    <mergeCell ref="AH639:AJ639"/>
    <mergeCell ref="C640:D640"/>
    <mergeCell ref="AB640:AG640"/>
    <mergeCell ref="AH640:AJ640"/>
    <mergeCell ref="C641:D641"/>
    <mergeCell ref="AB641:AG641"/>
    <mergeCell ref="AH641:AJ641"/>
    <mergeCell ref="C642:D642"/>
    <mergeCell ref="C643:D643"/>
    <mergeCell ref="AB643:AG643"/>
    <mergeCell ref="AH643:AJ643"/>
    <mergeCell ref="C644:D644"/>
    <mergeCell ref="AB644:AG644"/>
    <mergeCell ref="AH644:AJ644"/>
    <mergeCell ref="C645:D645"/>
    <mergeCell ref="AB645:AG645"/>
    <mergeCell ref="AH645:AJ645"/>
    <mergeCell ref="C646:D646"/>
    <mergeCell ref="AB646:AG646"/>
    <mergeCell ref="AH646:AJ646"/>
    <mergeCell ref="C647:D647"/>
    <mergeCell ref="AB647:AG647"/>
    <mergeCell ref="AB642:AG642"/>
    <mergeCell ref="AH649:AJ649"/>
    <mergeCell ref="C633:D633"/>
    <mergeCell ref="AB633:AG633"/>
    <mergeCell ref="AH633:AJ633"/>
    <mergeCell ref="C634:D634"/>
    <mergeCell ref="AB634:AG634"/>
    <mergeCell ref="C636:D636"/>
    <mergeCell ref="AB636:AG636"/>
    <mergeCell ref="AM650:AQ650"/>
    <mergeCell ref="L571:N571"/>
    <mergeCell ref="X572:Z572"/>
    <mergeCell ref="L577:N577"/>
    <mergeCell ref="P577:R577"/>
    <mergeCell ref="U577:W577"/>
    <mergeCell ref="AN575:AP575"/>
    <mergeCell ref="AD576:AF576"/>
    <mergeCell ref="C648:D648"/>
    <mergeCell ref="AB648:AG648"/>
    <mergeCell ref="AH648:AJ648"/>
    <mergeCell ref="AH642:AJ642"/>
    <mergeCell ref="C630:D630"/>
    <mergeCell ref="AB630:AG630"/>
    <mergeCell ref="AH630:AJ630"/>
    <mergeCell ref="C631:D631"/>
    <mergeCell ref="AB631:AG631"/>
    <mergeCell ref="AH631:AJ631"/>
    <mergeCell ref="C632:D632"/>
    <mergeCell ref="AB632:AG632"/>
    <mergeCell ref="C649:D649"/>
    <mergeCell ref="AH647:AJ647"/>
    <mergeCell ref="C637:D637"/>
    <mergeCell ref="AB637:AG637"/>
    <mergeCell ref="AB649:AG649"/>
    <mergeCell ref="C601:D603"/>
    <mergeCell ref="M602:N602"/>
    <mergeCell ref="AH632:AJ632"/>
    <mergeCell ref="C619:D620"/>
    <mergeCell ref="E619:AL620"/>
    <mergeCell ref="C621:D621"/>
    <mergeCell ref="AB621:AG621"/>
    <mergeCell ref="AH621:AJ621"/>
    <mergeCell ref="C622:D622"/>
    <mergeCell ref="AB622:AG622"/>
    <mergeCell ref="AH622:AJ622"/>
    <mergeCell ref="AH626:AJ626"/>
    <mergeCell ref="C628:D628"/>
    <mergeCell ref="AB628:AG628"/>
    <mergeCell ref="AH628:AJ628"/>
    <mergeCell ref="C629:D629"/>
    <mergeCell ref="AH629:AJ629"/>
    <mergeCell ref="C623:D623"/>
    <mergeCell ref="AB623:AG623"/>
    <mergeCell ref="AH605:AL605"/>
    <mergeCell ref="AB602:AD603"/>
    <mergeCell ref="AE602:AG603"/>
    <mergeCell ref="AE605:AG605"/>
    <mergeCell ref="C561:D561"/>
    <mergeCell ref="AB561:AG561"/>
    <mergeCell ref="AH623:AJ623"/>
    <mergeCell ref="C624:D624"/>
    <mergeCell ref="AB624:AG624"/>
    <mergeCell ref="AH624:AJ624"/>
    <mergeCell ref="C625:D625"/>
    <mergeCell ref="AB625:AG625"/>
    <mergeCell ref="AH625:AJ625"/>
    <mergeCell ref="C599:D600"/>
    <mergeCell ref="AB599:AD600"/>
    <mergeCell ref="AH596:AL596"/>
    <mergeCell ref="C595:D595"/>
    <mergeCell ref="AB595:AD595"/>
    <mergeCell ref="AE595:AG595"/>
    <mergeCell ref="C596:D596"/>
    <mergeCell ref="AB596:AD596"/>
    <mergeCell ref="AE596:AG596"/>
    <mergeCell ref="C597:D598"/>
    <mergeCell ref="AB597:AD598"/>
    <mergeCell ref="AE597:AG598"/>
    <mergeCell ref="P602:V602"/>
    <mergeCell ref="L584:N584"/>
    <mergeCell ref="R584:T584"/>
    <mergeCell ref="AH602:AL603"/>
    <mergeCell ref="M603:N603"/>
    <mergeCell ref="P603:V603"/>
    <mergeCell ref="C604:D605"/>
    <mergeCell ref="E604:AA604"/>
    <mergeCell ref="Q605:R605"/>
    <mergeCell ref="T605:Z605"/>
    <mergeCell ref="AB605:AD605"/>
    <mergeCell ref="C559:D559"/>
    <mergeCell ref="AB559:AG559"/>
    <mergeCell ref="C593:D594"/>
    <mergeCell ref="AB593:AD594"/>
    <mergeCell ref="AE593:AG594"/>
    <mergeCell ref="AH593:AL594"/>
    <mergeCell ref="R465:T465"/>
    <mergeCell ref="V464:W464"/>
    <mergeCell ref="AH528:AL528"/>
    <mergeCell ref="C546:D546"/>
    <mergeCell ref="AB546:AG546"/>
    <mergeCell ref="AH546:AJ546"/>
    <mergeCell ref="C547:D547"/>
    <mergeCell ref="AB547:AG547"/>
    <mergeCell ref="AH547:AJ547"/>
    <mergeCell ref="C542:D542"/>
    <mergeCell ref="AB542:AG542"/>
    <mergeCell ref="C540:D540"/>
    <mergeCell ref="C562:D562"/>
    <mergeCell ref="AB562:AG562"/>
    <mergeCell ref="AH562:AJ562"/>
    <mergeCell ref="C557:D557"/>
    <mergeCell ref="AB557:AG557"/>
    <mergeCell ref="AH557:AJ557"/>
    <mergeCell ref="C558:D558"/>
    <mergeCell ref="AB558:AG558"/>
    <mergeCell ref="AH558:AJ558"/>
    <mergeCell ref="C560:D560"/>
    <mergeCell ref="AB560:AG560"/>
    <mergeCell ref="AH560:AJ560"/>
    <mergeCell ref="C539:D539"/>
    <mergeCell ref="AH539:AJ539"/>
    <mergeCell ref="C543:D543"/>
    <mergeCell ref="AB522:AD523"/>
    <mergeCell ref="AE522:AG523"/>
    <mergeCell ref="AB525:AD526"/>
    <mergeCell ref="AB538:AG538"/>
    <mergeCell ref="C556:D556"/>
    <mergeCell ref="AB556:AG556"/>
    <mergeCell ref="AB543:AG543"/>
    <mergeCell ref="AH543:AJ543"/>
    <mergeCell ref="C544:D544"/>
    <mergeCell ref="AB544:AG544"/>
    <mergeCell ref="AH544:AJ544"/>
    <mergeCell ref="C545:D545"/>
    <mergeCell ref="AB545:AG545"/>
    <mergeCell ref="AB520:AD521"/>
    <mergeCell ref="AE520:AG521"/>
    <mergeCell ref="C522:D523"/>
    <mergeCell ref="AH538:AJ538"/>
    <mergeCell ref="C535:D535"/>
    <mergeCell ref="AB535:AG535"/>
    <mergeCell ref="AH535:AJ535"/>
    <mergeCell ref="AE525:AG526"/>
    <mergeCell ref="AH525:AL526"/>
    <mergeCell ref="C520:D521"/>
    <mergeCell ref="AH545:AJ545"/>
    <mergeCell ref="C524:D526"/>
    <mergeCell ref="M525:N525"/>
    <mergeCell ref="P525:V525"/>
    <mergeCell ref="M526:N526"/>
    <mergeCell ref="AU463:AW463"/>
    <mergeCell ref="AJ493:AL493"/>
    <mergeCell ref="T491:W491"/>
    <mergeCell ref="T495:W495"/>
    <mergeCell ref="T497:W497"/>
    <mergeCell ref="C554:D554"/>
    <mergeCell ref="AB554:AG554"/>
    <mergeCell ref="AH554:AJ554"/>
    <mergeCell ref="C527:D528"/>
    <mergeCell ref="E527:AA527"/>
    <mergeCell ref="Q528:R528"/>
    <mergeCell ref="T528:Z528"/>
    <mergeCell ref="AB528:AD528"/>
    <mergeCell ref="AE528:AG528"/>
    <mergeCell ref="C533:D534"/>
    <mergeCell ref="E533:AL534"/>
    <mergeCell ref="C536:D536"/>
    <mergeCell ref="AB536:AG536"/>
    <mergeCell ref="AH536:AJ536"/>
    <mergeCell ref="AE516:AG517"/>
    <mergeCell ref="AH516:AL517"/>
    <mergeCell ref="C518:D518"/>
    <mergeCell ref="P526:V526"/>
    <mergeCell ref="C537:D537"/>
    <mergeCell ref="AB539:AG539"/>
    <mergeCell ref="C551:D551"/>
    <mergeCell ref="AB551:AG551"/>
    <mergeCell ref="AH551:AJ551"/>
    <mergeCell ref="C552:D552"/>
    <mergeCell ref="AB552:AG552"/>
    <mergeCell ref="AH552:AJ552"/>
    <mergeCell ref="AH553:AJ553"/>
    <mergeCell ref="C514:D515"/>
    <mergeCell ref="M485:N485"/>
    <mergeCell ref="P485:V485"/>
    <mergeCell ref="AS485:AV485"/>
    <mergeCell ref="C477:D477"/>
    <mergeCell ref="AB477:AD477"/>
    <mergeCell ref="AE477:AG477"/>
    <mergeCell ref="C478:D478"/>
    <mergeCell ref="AB478:AD478"/>
    <mergeCell ref="AE478:AG478"/>
    <mergeCell ref="C479:D480"/>
    <mergeCell ref="AB479:AD480"/>
    <mergeCell ref="AE479:AG480"/>
    <mergeCell ref="C473:D474"/>
    <mergeCell ref="E473:AL474"/>
    <mergeCell ref="AU473:AY473"/>
    <mergeCell ref="C475:D476"/>
    <mergeCell ref="C486:D487"/>
    <mergeCell ref="AW498:AY498"/>
    <mergeCell ref="M484:N484"/>
    <mergeCell ref="AE481:AG482"/>
    <mergeCell ref="E514:AL515"/>
    <mergeCell ref="C435:D435"/>
    <mergeCell ref="C436:D436"/>
    <mergeCell ref="C439:D439"/>
    <mergeCell ref="C440:D440"/>
    <mergeCell ref="C441:D441"/>
    <mergeCell ref="C442:D442"/>
    <mergeCell ref="C443:D443"/>
    <mergeCell ref="C444:D444"/>
    <mergeCell ref="C445:D445"/>
    <mergeCell ref="C446:D446"/>
    <mergeCell ref="L461:M461"/>
    <mergeCell ref="O461:Q461"/>
    <mergeCell ref="S461:U461"/>
    <mergeCell ref="W461:X461"/>
    <mergeCell ref="C428:D428"/>
    <mergeCell ref="C429:D429"/>
    <mergeCell ref="C430:D430"/>
    <mergeCell ref="C438:D438"/>
    <mergeCell ref="L459:N459"/>
    <mergeCell ref="C437:D437"/>
    <mergeCell ref="U25:W25"/>
    <mergeCell ref="J167:O167"/>
    <mergeCell ref="P167:U167"/>
    <mergeCell ref="H91:I91"/>
    <mergeCell ref="AD117:AF117"/>
    <mergeCell ref="AG184:AI184"/>
    <mergeCell ref="AG185:AI185"/>
    <mergeCell ref="N150:O150"/>
    <mergeCell ref="G110:I111"/>
    <mergeCell ref="Z148:AE148"/>
    <mergeCell ref="U52:V52"/>
    <mergeCell ref="AB288:AD289"/>
    <mergeCell ref="AE288:AH289"/>
    <mergeCell ref="S290:S291"/>
    <mergeCell ref="T290:V290"/>
    <mergeCell ref="AH313:AH314"/>
    <mergeCell ref="AI286:AK287"/>
    <mergeCell ref="O287:Q287"/>
    <mergeCell ref="J232:O232"/>
    <mergeCell ref="P232:U232"/>
    <mergeCell ref="J230:O230"/>
    <mergeCell ref="AE252:AH253"/>
    <mergeCell ref="AE249:AH250"/>
    <mergeCell ref="AA274:AA275"/>
    <mergeCell ref="AB274:AD275"/>
    <mergeCell ref="O215:Q215"/>
    <mergeCell ref="R216:R217"/>
    <mergeCell ref="R301:S301"/>
    <mergeCell ref="O249:R250"/>
    <mergeCell ref="O214:Q214"/>
    <mergeCell ref="P193:U193"/>
    <mergeCell ref="J194:O194"/>
    <mergeCell ref="T184:X184"/>
    <mergeCell ref="T185:X185"/>
    <mergeCell ref="AB54:AM54"/>
    <mergeCell ref="AE375:AG376"/>
    <mergeCell ref="AH375:AL376"/>
    <mergeCell ref="C374:D376"/>
    <mergeCell ref="AE388:AG388"/>
    <mergeCell ref="AE369:AG369"/>
    <mergeCell ref="AE370:AG371"/>
    <mergeCell ref="AB368:AD368"/>
    <mergeCell ref="AB378:AD378"/>
    <mergeCell ref="AH369:AL369"/>
    <mergeCell ref="C370:D371"/>
    <mergeCell ref="C372:D373"/>
    <mergeCell ref="C388:D388"/>
    <mergeCell ref="F82:H82"/>
    <mergeCell ref="T159:U159"/>
    <mergeCell ref="P108:Q108"/>
    <mergeCell ref="AF160:AM160"/>
    <mergeCell ref="AB110:AC110"/>
    <mergeCell ref="AF151:AM151"/>
    <mergeCell ref="AF152:AM152"/>
    <mergeCell ref="AL111:AN111"/>
    <mergeCell ref="AF149:AM149"/>
    <mergeCell ref="O184:S184"/>
    <mergeCell ref="AB184:AF184"/>
    <mergeCell ref="Q154:R154"/>
    <mergeCell ref="P168:U168"/>
    <mergeCell ref="Z152:AE152"/>
    <mergeCell ref="Z158:AE158"/>
    <mergeCell ref="K159:L159"/>
    <mergeCell ref="N159:O159"/>
    <mergeCell ref="BL12:BN12"/>
    <mergeCell ref="BQ12:BT12"/>
    <mergeCell ref="U16:W16"/>
    <mergeCell ref="U17:W17"/>
    <mergeCell ref="AH15:AI15"/>
    <mergeCell ref="AH16:AI16"/>
    <mergeCell ref="BH53:BJ53"/>
    <mergeCell ref="BK53:BM53"/>
    <mergeCell ref="BN53:BP53"/>
    <mergeCell ref="BQ53:BS53"/>
    <mergeCell ref="BT53:BV53"/>
    <mergeCell ref="BJ13:BL13"/>
    <mergeCell ref="BE17:BH17"/>
    <mergeCell ref="BL17:BO17"/>
    <mergeCell ref="BE15:BF15"/>
    <mergeCell ref="BG15:BG16"/>
    <mergeCell ref="BH15:BH16"/>
    <mergeCell ref="BN15:BO15"/>
    <mergeCell ref="BP15:BP16"/>
    <mergeCell ref="BQ15:BQ16"/>
    <mergeCell ref="BE14:BF14"/>
    <mergeCell ref="BE16:BF16"/>
    <mergeCell ref="BN16:BO16"/>
    <mergeCell ref="AU44:AW44"/>
    <mergeCell ref="AS45:AT45"/>
    <mergeCell ref="AU45:AW45"/>
    <mergeCell ref="BH31:BL31"/>
    <mergeCell ref="BE31:BG31"/>
    <mergeCell ref="BM31:BO31"/>
    <mergeCell ref="BE13:BF13"/>
    <mergeCell ref="U50:X50"/>
    <mergeCell ref="U51:V51"/>
    <mergeCell ref="BZ53:CB53"/>
    <mergeCell ref="CC53:CE53"/>
    <mergeCell ref="AV54:AX54"/>
    <mergeCell ref="AY54:BA54"/>
    <mergeCell ref="BB54:BD54"/>
    <mergeCell ref="BE54:BG54"/>
    <mergeCell ref="BH54:BJ54"/>
    <mergeCell ref="BK54:BM54"/>
    <mergeCell ref="BN54:BP54"/>
    <mergeCell ref="BQ54:BS54"/>
    <mergeCell ref="BT54:BV54"/>
    <mergeCell ref="BW54:BY54"/>
    <mergeCell ref="BZ54:CB54"/>
    <mergeCell ref="CC54:CE54"/>
    <mergeCell ref="AV53:AX53"/>
    <mergeCell ref="AY53:BA53"/>
    <mergeCell ref="BB53:BD53"/>
    <mergeCell ref="BE53:BG53"/>
    <mergeCell ref="BW53:BY53"/>
    <mergeCell ref="AS36:AV36"/>
    <mergeCell ref="AS37:AV37"/>
    <mergeCell ref="AS38:AV38"/>
    <mergeCell ref="AS39:AV39"/>
    <mergeCell ref="U32:W32"/>
    <mergeCell ref="U33:W33"/>
    <mergeCell ref="U36:W36"/>
    <mergeCell ref="AF161:AM161"/>
    <mergeCell ref="T154:U154"/>
    <mergeCell ref="Z156:AE156"/>
    <mergeCell ref="AF156:AM156"/>
    <mergeCell ref="W308:X308"/>
    <mergeCell ref="R304:S304"/>
    <mergeCell ref="O288:R289"/>
    <mergeCell ref="S288:S289"/>
    <mergeCell ref="T288:V288"/>
    <mergeCell ref="X288:Z288"/>
    <mergeCell ref="AI288:AK289"/>
    <mergeCell ref="V289:X289"/>
    <mergeCell ref="O298:P298"/>
    <mergeCell ref="R298:S298"/>
    <mergeCell ref="O295:P295"/>
    <mergeCell ref="Q307:R307"/>
    <mergeCell ref="S306:S307"/>
    <mergeCell ref="T306:U307"/>
    <mergeCell ref="W306:W307"/>
    <mergeCell ref="O299:Q299"/>
    <mergeCell ref="R299:T299"/>
    <mergeCell ref="AI290:AK291"/>
    <mergeCell ref="AA288:AA289"/>
    <mergeCell ref="O182:S182"/>
    <mergeCell ref="O183:S183"/>
    <mergeCell ref="U11:W11"/>
    <mergeCell ref="U45:X45"/>
    <mergeCell ref="U46:X46"/>
    <mergeCell ref="U47:X47"/>
    <mergeCell ref="U48:X48"/>
    <mergeCell ref="U49:X49"/>
    <mergeCell ref="U69:W69"/>
    <mergeCell ref="U13:W13"/>
    <mergeCell ref="U43:X43"/>
    <mergeCell ref="U44:X44"/>
    <mergeCell ref="U70:W70"/>
    <mergeCell ref="U12:W12"/>
    <mergeCell ref="U14:W14"/>
    <mergeCell ref="U71:W71"/>
    <mergeCell ref="U74:W74"/>
    <mergeCell ref="U72:W72"/>
    <mergeCell ref="U56:X56"/>
    <mergeCell ref="U58:X58"/>
    <mergeCell ref="U60:X60"/>
    <mergeCell ref="U61:W61"/>
    <mergeCell ref="U62:X62"/>
    <mergeCell ref="U55:X55"/>
    <mergeCell ref="U57:X57"/>
    <mergeCell ref="U59:X59"/>
    <mergeCell ref="U15:W15"/>
    <mergeCell ref="U23:W23"/>
    <mergeCell ref="U24:W24"/>
    <mergeCell ref="U26:W26"/>
    <mergeCell ref="U37:W37"/>
    <mergeCell ref="U38:W38"/>
    <mergeCell ref="U39:W39"/>
    <mergeCell ref="U31:W31"/>
    <mergeCell ref="F83:H83"/>
    <mergeCell ref="O200:S200"/>
    <mergeCell ref="T200:X200"/>
    <mergeCell ref="L201:N201"/>
    <mergeCell ref="AD111:AE111"/>
    <mergeCell ref="J110:K110"/>
    <mergeCell ref="P113:R113"/>
    <mergeCell ref="T113:V113"/>
    <mergeCell ref="R111:W111"/>
    <mergeCell ref="G117:I117"/>
    <mergeCell ref="R133:T133"/>
    <mergeCell ref="V133:X133"/>
    <mergeCell ref="L135:M135"/>
    <mergeCell ref="O135:Q135"/>
    <mergeCell ref="S135:U135"/>
    <mergeCell ref="G99:I99"/>
    <mergeCell ref="H90:I90"/>
    <mergeCell ref="J90:J91"/>
    <mergeCell ref="N91:O91"/>
    <mergeCell ref="P91:Q91"/>
    <mergeCell ref="T182:X182"/>
    <mergeCell ref="T183:X183"/>
    <mergeCell ref="N110:O110"/>
    <mergeCell ref="V100:X100"/>
    <mergeCell ref="V171:AA171"/>
    <mergeCell ref="C169:I169"/>
    <mergeCell ref="AB186:AF186"/>
    <mergeCell ref="M102:O102"/>
    <mergeCell ref="AB98:AC98"/>
    <mergeCell ref="AA103:AC103"/>
    <mergeCell ref="C148:D148"/>
    <mergeCell ref="C145:D145"/>
    <mergeCell ref="U63:X63"/>
    <mergeCell ref="U64:X64"/>
    <mergeCell ref="U65:X65"/>
    <mergeCell ref="O304:Q304"/>
    <mergeCell ref="P306:P307"/>
    <mergeCell ref="Q306:R306"/>
    <mergeCell ref="O201:S201"/>
    <mergeCell ref="C216:J217"/>
    <mergeCell ref="S110:W110"/>
    <mergeCell ref="P110:R110"/>
    <mergeCell ref="Q114:Y114"/>
    <mergeCell ref="O186:S186"/>
    <mergeCell ref="Y182:AF183"/>
    <mergeCell ref="AG182:AN183"/>
    <mergeCell ref="T153:U153"/>
    <mergeCell ref="W153:Y153"/>
    <mergeCell ref="Q150:R150"/>
    <mergeCell ref="T150:U150"/>
    <mergeCell ref="Z145:AE145"/>
    <mergeCell ref="Z149:AE149"/>
    <mergeCell ref="W135:Y135"/>
    <mergeCell ref="L136:N136"/>
    <mergeCell ref="Z141:AE142"/>
    <mergeCell ref="N133:P133"/>
    <mergeCell ref="C149:D149"/>
    <mergeCell ref="E149:I149"/>
    <mergeCell ref="C141:D142"/>
    <mergeCell ref="E141:I142"/>
    <mergeCell ref="J141:Y142"/>
    <mergeCell ref="C144:D144"/>
    <mergeCell ref="Z150:AE150"/>
    <mergeCell ref="E303:N303"/>
    <mergeCell ref="T149:U149"/>
    <mergeCell ref="W149:Y149"/>
    <mergeCell ref="C151:D151"/>
    <mergeCell ref="C152:D152"/>
    <mergeCell ref="N151:O151"/>
    <mergeCell ref="Q151:R151"/>
    <mergeCell ref="T151:U151"/>
    <mergeCell ref="W150:Y150"/>
    <mergeCell ref="W151:Y151"/>
    <mergeCell ref="E150:I150"/>
    <mergeCell ref="E148:I148"/>
    <mergeCell ref="K148:L148"/>
    <mergeCell ref="N148:O148"/>
    <mergeCell ref="Q148:R148"/>
    <mergeCell ref="T148:U148"/>
    <mergeCell ref="E151:I151"/>
    <mergeCell ref="E152:I152"/>
    <mergeCell ref="G104:J104"/>
    <mergeCell ref="N111:Q111"/>
    <mergeCell ref="K149:L149"/>
    <mergeCell ref="N149:O149"/>
    <mergeCell ref="Z159:AE159"/>
    <mergeCell ref="W157:Y157"/>
    <mergeCell ref="Z157:AE157"/>
    <mergeCell ref="E158:I158"/>
    <mergeCell ref="W159:Y159"/>
    <mergeCell ref="C159:D159"/>
    <mergeCell ref="C153:D153"/>
    <mergeCell ref="V167:AA167"/>
    <mergeCell ref="V168:AA168"/>
    <mergeCell ref="E159:I159"/>
    <mergeCell ref="E157:I157"/>
    <mergeCell ref="C157:D157"/>
    <mergeCell ref="N146:O146"/>
    <mergeCell ref="Q146:R146"/>
    <mergeCell ref="W146:Y146"/>
    <mergeCell ref="Z146:AE146"/>
    <mergeCell ref="C143:AM143"/>
    <mergeCell ref="T144:V144"/>
    <mergeCell ref="AF153:AM153"/>
    <mergeCell ref="W154:Y154"/>
    <mergeCell ref="Z154:AE154"/>
    <mergeCell ref="AF154:AM154"/>
    <mergeCell ref="C154:D154"/>
    <mergeCell ref="E154:I154"/>
    <mergeCell ref="N152:O152"/>
    <mergeCell ref="Q152:R152"/>
    <mergeCell ref="T152:U152"/>
    <mergeCell ref="Q153:R153"/>
    <mergeCell ref="AF146:AM146"/>
    <mergeCell ref="T146:V146"/>
    <mergeCell ref="J168:O168"/>
    <mergeCell ref="C160:D160"/>
    <mergeCell ref="C156:D156"/>
    <mergeCell ref="C158:D158"/>
    <mergeCell ref="K158:L158"/>
    <mergeCell ref="N158:O158"/>
    <mergeCell ref="P194:U194"/>
    <mergeCell ref="P170:U170"/>
    <mergeCell ref="P171:U171"/>
    <mergeCell ref="L184:N184"/>
    <mergeCell ref="L182:N182"/>
    <mergeCell ref="L183:N183"/>
    <mergeCell ref="W156:Y156"/>
    <mergeCell ref="C150:D150"/>
    <mergeCell ref="Q145:S145"/>
    <mergeCell ref="T145:V145"/>
    <mergeCell ref="W145:Y145"/>
    <mergeCell ref="K152:L152"/>
    <mergeCell ref="E153:I153"/>
    <mergeCell ref="K153:L153"/>
    <mergeCell ref="N153:O153"/>
    <mergeCell ref="K154:L154"/>
    <mergeCell ref="N154:O154"/>
    <mergeCell ref="E156:I156"/>
    <mergeCell ref="K156:L156"/>
    <mergeCell ref="N156:O156"/>
    <mergeCell ref="Q156:R156"/>
    <mergeCell ref="T156:U156"/>
    <mergeCell ref="C167:I168"/>
    <mergeCell ref="Z153:AE153"/>
    <mergeCell ref="J170:O170"/>
    <mergeCell ref="J171:O171"/>
    <mergeCell ref="V170:AA170"/>
    <mergeCell ref="C170:I170"/>
    <mergeCell ref="C171:I171"/>
    <mergeCell ref="X218:Z218"/>
    <mergeCell ref="C263:N264"/>
    <mergeCell ref="O263:AK264"/>
    <mergeCell ref="O265:R266"/>
    <mergeCell ref="S265:V266"/>
    <mergeCell ref="W265:Z266"/>
    <mergeCell ref="AE265:AH266"/>
    <mergeCell ref="AI265:AK266"/>
    <mergeCell ref="O267:Q267"/>
    <mergeCell ref="R267:S267"/>
    <mergeCell ref="T201:X201"/>
    <mergeCell ref="AI249:AK250"/>
    <mergeCell ref="O251:Q251"/>
    <mergeCell ref="R251:S251"/>
    <mergeCell ref="C235:K236"/>
    <mergeCell ref="L202:N202"/>
    <mergeCell ref="O202:S202"/>
    <mergeCell ref="T202:X202"/>
    <mergeCell ref="O237:S237"/>
    <mergeCell ref="V232:AA232"/>
    <mergeCell ref="C232:I232"/>
    <mergeCell ref="L237:N237"/>
    <mergeCell ref="T235:X235"/>
    <mergeCell ref="AI256:AK257"/>
    <mergeCell ref="V257:X257"/>
    <mergeCell ref="AI252:AK253"/>
    <mergeCell ref="L236:N236"/>
    <mergeCell ref="G409:H409"/>
    <mergeCell ref="O238:S238"/>
    <mergeCell ref="U269:X269"/>
    <mergeCell ref="T258:V258"/>
    <mergeCell ref="K673:L673"/>
    <mergeCell ref="Q673:R673"/>
    <mergeCell ref="Y673:AA673"/>
    <mergeCell ref="R654:S654"/>
    <mergeCell ref="T327:U327"/>
    <mergeCell ref="W327:Y327"/>
    <mergeCell ref="T328:V328"/>
    <mergeCell ref="W328:X328"/>
    <mergeCell ref="T329:V329"/>
    <mergeCell ref="X329:Z329"/>
    <mergeCell ref="T336:V336"/>
    <mergeCell ref="W336:Y336"/>
    <mergeCell ref="T330:V330"/>
    <mergeCell ref="X330:Z330"/>
    <mergeCell ref="T331:V331"/>
    <mergeCell ref="W331:Y331"/>
    <mergeCell ref="Y667:Z667"/>
    <mergeCell ref="AA668:AD668"/>
    <mergeCell ref="W657:X657"/>
    <mergeCell ref="Y658:AB658"/>
    <mergeCell ref="AB333:AD333"/>
    <mergeCell ref="AD327:AF327"/>
    <mergeCell ref="AE366:AG367"/>
    <mergeCell ref="AE378:AG378"/>
    <mergeCell ref="AB372:AD373"/>
    <mergeCell ref="AB424:AG424"/>
    <mergeCell ref="L321:M321"/>
    <mergeCell ref="Y361:AA361"/>
    <mergeCell ref="AB420:AG420"/>
    <mergeCell ref="AG494:AO495"/>
    <mergeCell ref="T492:W492"/>
    <mergeCell ref="Y496:AA496"/>
    <mergeCell ref="AH424:AJ424"/>
    <mergeCell ref="AH425:AJ425"/>
    <mergeCell ref="L466:N466"/>
    <mergeCell ref="AE372:AG373"/>
    <mergeCell ref="AB387:AD387"/>
    <mergeCell ref="L457:M457"/>
    <mergeCell ref="L462:N462"/>
    <mergeCell ref="AH420:AJ420"/>
    <mergeCell ref="O311:Q311"/>
    <mergeCell ref="R311:S311"/>
    <mergeCell ref="T493:W493"/>
    <mergeCell ref="AH432:AJ432"/>
    <mergeCell ref="P484:V484"/>
    <mergeCell ref="Y495:AA495"/>
    <mergeCell ref="AE394:AG395"/>
    <mergeCell ref="AE389:AG390"/>
    <mergeCell ref="E670:F670"/>
    <mergeCell ref="H667:I667"/>
    <mergeCell ref="D664:E664"/>
    <mergeCell ref="C418:D418"/>
    <mergeCell ref="Z144:AE144"/>
    <mergeCell ref="C433:D433"/>
    <mergeCell ref="C434:D434"/>
    <mergeCell ref="Z334:AB334"/>
    <mergeCell ref="AB388:AD388"/>
    <mergeCell ref="O284:Q284"/>
    <mergeCell ref="L580:M580"/>
    <mergeCell ref="O580:Q580"/>
    <mergeCell ref="S580:U580"/>
    <mergeCell ref="W580:X580"/>
    <mergeCell ref="AE281:AH282"/>
    <mergeCell ref="S258:S259"/>
    <mergeCell ref="U251:W251"/>
    <mergeCell ref="O283:Q283"/>
    <mergeCell ref="R283:S283"/>
    <mergeCell ref="U283:W283"/>
    <mergeCell ref="AE251:AH251"/>
    <mergeCell ref="T237:X237"/>
    <mergeCell ref="AF144:AM144"/>
    <mergeCell ref="AI670:AJ670"/>
    <mergeCell ref="V664:W664"/>
    <mergeCell ref="X665:AA665"/>
    <mergeCell ref="AB417:AG417"/>
    <mergeCell ref="AH417:AJ417"/>
    <mergeCell ref="AC457:AD457"/>
    <mergeCell ref="W144:Y144"/>
    <mergeCell ref="Q144:S144"/>
    <mergeCell ref="D313:M313"/>
    <mergeCell ref="AI663:AJ663"/>
    <mergeCell ref="AW204:BF205"/>
    <mergeCell ref="AH366:AL367"/>
    <mergeCell ref="AM446:AQ446"/>
    <mergeCell ref="P468:R468"/>
    <mergeCell ref="AB439:AG439"/>
    <mergeCell ref="AH440:AJ440"/>
    <mergeCell ref="AB440:AG440"/>
    <mergeCell ref="AH427:AJ427"/>
    <mergeCell ref="AB427:AG427"/>
    <mergeCell ref="AH428:AJ428"/>
    <mergeCell ref="AB428:AG428"/>
    <mergeCell ref="AH429:AJ429"/>
    <mergeCell ref="AB429:AG429"/>
    <mergeCell ref="AH437:AJ437"/>
    <mergeCell ref="AB437:AG437"/>
    <mergeCell ref="K409:M409"/>
    <mergeCell ref="T409:V409"/>
    <mergeCell ref="K410:M410"/>
    <mergeCell ref="T410:V410"/>
    <mergeCell ref="V404:X404"/>
    <mergeCell ref="R404:T404"/>
    <mergeCell ref="Q314:T314"/>
    <mergeCell ref="N315:N316"/>
    <mergeCell ref="O315:P315"/>
    <mergeCell ref="R315:T315"/>
    <mergeCell ref="V315:X315"/>
    <mergeCell ref="Q316:U316"/>
    <mergeCell ref="O317:Q317"/>
    <mergeCell ref="T352:V352"/>
    <mergeCell ref="P381:R381"/>
    <mergeCell ref="M375:N375"/>
    <mergeCell ref="C387:D387"/>
    <mergeCell ref="Z252:Z253"/>
    <mergeCell ref="J228:O228"/>
    <mergeCell ref="C284:J285"/>
    <mergeCell ref="V228:AA228"/>
    <mergeCell ref="J229:O229"/>
    <mergeCell ref="P229:U229"/>
    <mergeCell ref="S252:S253"/>
    <mergeCell ref="T252:T253"/>
    <mergeCell ref="AH561:AJ561"/>
    <mergeCell ref="AU200:AV201"/>
    <mergeCell ref="AU202:AV202"/>
    <mergeCell ref="AU203:AV203"/>
    <mergeCell ref="AU204:AV205"/>
    <mergeCell ref="BO204:BR205"/>
    <mergeCell ref="AM662:AN662"/>
    <mergeCell ref="G410:H410"/>
    <mergeCell ref="P375:V375"/>
    <mergeCell ref="E377:AA377"/>
    <mergeCell ref="Q378:R378"/>
    <mergeCell ref="T378:Z378"/>
    <mergeCell ref="L581:O581"/>
    <mergeCell ref="L572:N572"/>
    <mergeCell ref="L574:N574"/>
    <mergeCell ref="P574:R574"/>
    <mergeCell ref="U574:W574"/>
    <mergeCell ref="AA327:AB327"/>
    <mergeCell ref="O294:P294"/>
    <mergeCell ref="Q294:Q295"/>
    <mergeCell ref="V291:X291"/>
    <mergeCell ref="AB375:AD376"/>
    <mergeCell ref="O252:Q252"/>
    <mergeCell ref="W252:Y252"/>
    <mergeCell ref="AM421:AQ421"/>
    <mergeCell ref="Y660:AB660"/>
    <mergeCell ref="AH421:AJ421"/>
    <mergeCell ref="AB421:AG421"/>
    <mergeCell ref="AH441:AJ441"/>
    <mergeCell ref="AB441:AG441"/>
    <mergeCell ref="AB433:AG433"/>
    <mergeCell ref="AH434:AJ434"/>
    <mergeCell ref="AB434:AG434"/>
    <mergeCell ref="AH435:AJ435"/>
    <mergeCell ref="AB435:AG435"/>
    <mergeCell ref="AH436:AJ436"/>
    <mergeCell ref="AB436:AG436"/>
    <mergeCell ref="AE599:AG600"/>
    <mergeCell ref="AH442:AJ442"/>
    <mergeCell ref="AB442:AG442"/>
    <mergeCell ref="AH443:AJ443"/>
    <mergeCell ref="AH444:AJ444"/>
    <mergeCell ref="AB444:AG444"/>
    <mergeCell ref="AH445:AJ445"/>
    <mergeCell ref="AB445:AG445"/>
    <mergeCell ref="AH540:AJ540"/>
    <mergeCell ref="AB481:AD482"/>
    <mergeCell ref="AH446:AJ446"/>
    <mergeCell ref="AB446:AG446"/>
    <mergeCell ref="AH637:AJ637"/>
    <mergeCell ref="AI267:AK267"/>
    <mergeCell ref="AH422:AJ422"/>
    <mergeCell ref="AH426:AJ426"/>
    <mergeCell ref="AB426:AG426"/>
    <mergeCell ref="AH439:AJ439"/>
    <mergeCell ref="BT204:BU205"/>
    <mergeCell ref="BV204:BZ205"/>
    <mergeCell ref="BG204:BG205"/>
    <mergeCell ref="BG206:BG207"/>
    <mergeCell ref="BO206:BR207"/>
    <mergeCell ref="BT206:BU207"/>
    <mergeCell ref="BS206:BS207"/>
    <mergeCell ref="BV206:BZ207"/>
    <mergeCell ref="AU206:AV207"/>
    <mergeCell ref="AW206:BF207"/>
    <mergeCell ref="AH418:AJ418"/>
    <mergeCell ref="AB418:AG418"/>
    <mergeCell ref="AH419:AJ419"/>
    <mergeCell ref="AB419:AG419"/>
    <mergeCell ref="E415:AL416"/>
    <mergeCell ref="BH205:BK205"/>
    <mergeCell ref="BH204:BK204"/>
    <mergeCell ref="BH206:BI206"/>
    <mergeCell ref="BK206:BM206"/>
    <mergeCell ref="BJ207:BL207"/>
    <mergeCell ref="L323:M323"/>
    <mergeCell ref="BM371:BQ371"/>
    <mergeCell ref="AB366:AD367"/>
    <mergeCell ref="AT388:AX388"/>
    <mergeCell ref="V334:X334"/>
    <mergeCell ref="V229:AA229"/>
    <mergeCell ref="AA290:AA291"/>
    <mergeCell ref="O309:Q309"/>
    <mergeCell ref="R309:S309"/>
    <mergeCell ref="X306:Z307"/>
    <mergeCell ref="S303:U303"/>
    <mergeCell ref="R252:R253"/>
    <mergeCell ref="F665:I665"/>
    <mergeCell ref="I659:J659"/>
    <mergeCell ref="BS204:BS205"/>
    <mergeCell ref="AH438:AJ438"/>
    <mergeCell ref="AH433:AJ433"/>
    <mergeCell ref="K660:N660"/>
    <mergeCell ref="AE284:AH285"/>
    <mergeCell ref="AI284:AK285"/>
    <mergeCell ref="U253:X253"/>
    <mergeCell ref="C254:J255"/>
    <mergeCell ref="O254:Q254"/>
    <mergeCell ref="R254:R255"/>
    <mergeCell ref="S254:S255"/>
    <mergeCell ref="T254:T255"/>
    <mergeCell ref="W254:Y254"/>
    <mergeCell ref="Z254:Z255"/>
    <mergeCell ref="AE254:AH255"/>
    <mergeCell ref="AI254:AK255"/>
    <mergeCell ref="O255:Q255"/>
    <mergeCell ref="U255:X255"/>
    <mergeCell ref="X258:Z258"/>
    <mergeCell ref="AA258:AA259"/>
    <mergeCell ref="AB258:AD259"/>
    <mergeCell ref="AE258:AH259"/>
    <mergeCell ref="AB629:AG629"/>
    <mergeCell ref="O236:S236"/>
    <mergeCell ref="Z270:Z271"/>
    <mergeCell ref="O285:Q285"/>
    <mergeCell ref="U285:X285"/>
    <mergeCell ref="C252:J253"/>
    <mergeCell ref="Z284:Z285"/>
    <mergeCell ref="W659:X659"/>
    <mergeCell ref="O268:Q268"/>
    <mergeCell ref="R268:R269"/>
    <mergeCell ref="S268:S269"/>
    <mergeCell ref="T268:T269"/>
    <mergeCell ref="W268:Y268"/>
    <mergeCell ref="Z268:Z269"/>
    <mergeCell ref="AE268:AH269"/>
    <mergeCell ref="AI268:AK269"/>
    <mergeCell ref="C272:N273"/>
    <mergeCell ref="N294:N295"/>
    <mergeCell ref="R294:T294"/>
    <mergeCell ref="R295:T295"/>
    <mergeCell ref="E308:M309"/>
    <mergeCell ref="O308:P308"/>
    <mergeCell ref="R308:S308"/>
    <mergeCell ref="AB290:AD291"/>
    <mergeCell ref="J333:S333"/>
    <mergeCell ref="T333:V333"/>
    <mergeCell ref="X333:Z333"/>
    <mergeCell ref="C268:J269"/>
    <mergeCell ref="AI283:AK283"/>
    <mergeCell ref="R284:R285"/>
    <mergeCell ref="AE272:AH273"/>
    <mergeCell ref="AE270:AH271"/>
    <mergeCell ref="AI270:AK271"/>
    <mergeCell ref="O271:Q271"/>
    <mergeCell ref="U271:X271"/>
    <mergeCell ref="U287:X287"/>
    <mergeCell ref="AE286:AH287"/>
    <mergeCell ref="L306:M307"/>
    <mergeCell ref="W270:Y270"/>
    <mergeCell ref="V294:W295"/>
    <mergeCell ref="AT457:AZ457"/>
    <mergeCell ref="AU462:AW462"/>
    <mergeCell ref="U294:U295"/>
    <mergeCell ref="AI463:AL463"/>
    <mergeCell ref="AE387:AG387"/>
    <mergeCell ref="AO466:AQ466"/>
    <mergeCell ref="AF457:AG457"/>
    <mergeCell ref="P395:V395"/>
    <mergeCell ref="AB394:AD395"/>
    <mergeCell ref="L465:N465"/>
    <mergeCell ref="L468:N468"/>
    <mergeCell ref="X468:Z468"/>
    <mergeCell ref="L470:N470"/>
    <mergeCell ref="W281:Z282"/>
    <mergeCell ref="O303:Q303"/>
    <mergeCell ref="AU364:AY364"/>
    <mergeCell ref="AB321:AC321"/>
    <mergeCell ref="AE368:AG368"/>
    <mergeCell ref="S317:T317"/>
    <mergeCell ref="U317:AP318"/>
    <mergeCell ref="O313:V313"/>
    <mergeCell ref="S284:S285"/>
    <mergeCell ref="T284:T285"/>
    <mergeCell ref="W284:Y284"/>
    <mergeCell ref="AB425:AG425"/>
    <mergeCell ref="AB430:AG430"/>
    <mergeCell ref="AB432:AG432"/>
    <mergeCell ref="R464:T464"/>
    <mergeCell ref="O321:R321"/>
    <mergeCell ref="F301:M302"/>
    <mergeCell ref="AD404:AF404"/>
    <mergeCell ref="AB438:AG438"/>
    <mergeCell ref="AI272:AK273"/>
    <mergeCell ref="V273:X273"/>
    <mergeCell ref="AE290:AH291"/>
    <mergeCell ref="S310:V310"/>
    <mergeCell ref="BQ562:BS562"/>
    <mergeCell ref="BG563:BI563"/>
    <mergeCell ref="BH460:BK460"/>
    <mergeCell ref="BH461:BJ461"/>
    <mergeCell ref="BH462:BJ462"/>
    <mergeCell ref="BH463:BJ463"/>
    <mergeCell ref="BH459:BK459"/>
    <mergeCell ref="BR445:BT445"/>
    <mergeCell ref="BH446:BJ446"/>
    <mergeCell ref="AB443:AG443"/>
    <mergeCell ref="O272:R273"/>
    <mergeCell ref="S272:S273"/>
    <mergeCell ref="T272:V272"/>
    <mergeCell ref="X272:Z272"/>
    <mergeCell ref="AA272:AA273"/>
    <mergeCell ref="AB272:AD273"/>
    <mergeCell ref="AY358:BB359"/>
    <mergeCell ref="AH559:AJ559"/>
    <mergeCell ref="AH556:AJ556"/>
    <mergeCell ref="P470:R470"/>
    <mergeCell ref="X470:Z470"/>
    <mergeCell ref="T470:V470"/>
    <mergeCell ref="AU366:AX366"/>
    <mergeCell ref="AW386:AY386"/>
    <mergeCell ref="E383:AL384"/>
    <mergeCell ref="U457:V457"/>
    <mergeCell ref="AM539:AQ539"/>
    <mergeCell ref="AS446:AU446"/>
    <mergeCell ref="AU577:AW577"/>
    <mergeCell ref="BD572:BF572"/>
    <mergeCell ref="BD573:BF573"/>
    <mergeCell ref="BD574:BF574"/>
    <mergeCell ref="BD575:BF575"/>
    <mergeCell ref="AI457:AJ457"/>
    <mergeCell ref="AO457:AP457"/>
    <mergeCell ref="O457:P457"/>
    <mergeCell ref="AA457:AB457"/>
    <mergeCell ref="AL457:AM457"/>
    <mergeCell ref="AU459:AW459"/>
    <mergeCell ref="AO458:AP458"/>
    <mergeCell ref="BC445:BE445"/>
    <mergeCell ref="AU573:AW573"/>
    <mergeCell ref="BC562:BE562"/>
    <mergeCell ref="AS563:AU563"/>
    <mergeCell ref="AU575:AW575"/>
    <mergeCell ref="AU574:AW574"/>
    <mergeCell ref="AU572:AW572"/>
    <mergeCell ref="BD577:BF577"/>
    <mergeCell ref="AH484:AL485"/>
    <mergeCell ref="AU474:BE475"/>
    <mergeCell ref="AS476:AV476"/>
    <mergeCell ref="BD576:BF576"/>
    <mergeCell ref="AU576:AW576"/>
    <mergeCell ref="AU460:AX460"/>
    <mergeCell ref="AO570:AQ570"/>
    <mergeCell ref="AB563:AG563"/>
    <mergeCell ref="P571:Q571"/>
    <mergeCell ref="S571:T571"/>
    <mergeCell ref="AS484:AV484"/>
    <mergeCell ref="AM564:AQ564"/>
    <mergeCell ref="U10:W10"/>
    <mergeCell ref="T109:X109"/>
    <mergeCell ref="AB550:AG550"/>
    <mergeCell ref="AH550:AJ550"/>
    <mergeCell ref="T238:X238"/>
    <mergeCell ref="L239:N239"/>
    <mergeCell ref="O239:S239"/>
    <mergeCell ref="T239:X239"/>
    <mergeCell ref="C247:N248"/>
    <mergeCell ref="O247:AK248"/>
    <mergeCell ref="O253:Q253"/>
    <mergeCell ref="AI258:AK259"/>
    <mergeCell ref="V259:X259"/>
    <mergeCell ref="C270:J271"/>
    <mergeCell ref="O270:Q270"/>
    <mergeCell ref="R270:R271"/>
    <mergeCell ref="S270:S271"/>
    <mergeCell ref="T270:T271"/>
    <mergeCell ref="O323:Q323"/>
    <mergeCell ref="F324:S324"/>
    <mergeCell ref="T324:U324"/>
    <mergeCell ref="X324:AM324"/>
    <mergeCell ref="I322:L322"/>
    <mergeCell ref="O322:R322"/>
    <mergeCell ref="T321:Y321"/>
    <mergeCell ref="T322:AH322"/>
    <mergeCell ref="AB422:AG422"/>
    <mergeCell ref="F326:S326"/>
    <mergeCell ref="T326:AB326"/>
    <mergeCell ref="U267:W267"/>
    <mergeCell ref="AE267:AH267"/>
    <mergeCell ref="O269:Q269"/>
  </mergeCells>
  <dataValidations disablePrompts="1" count="1">
    <dataValidation type="list" allowBlank="1" showInputMessage="1" showErrorMessage="1" sqref="U45">
      <formula1>"250,415,500"</formula1>
    </dataValidation>
  </dataValidations>
  <pageMargins left="0.70866141732283472" right="0.70866141732283472" top="0.74803149606299213" bottom="0.74803149606299213" header="0.31496062992125984" footer="0.31496062992125984"/>
  <pageSetup paperSize="9" scale="83" orientation="portrait" r:id="rId1"/>
  <rowBreaks count="10" manualBreakCount="10">
    <brk id="66" max="42" man="1"/>
    <brk id="125" max="42" man="1"/>
    <brk id="187" max="42" man="1"/>
    <brk id="244" max="42" man="1"/>
    <brk id="341" max="42" man="1"/>
    <brk id="401" max="42" man="1"/>
    <brk id="450" max="42" man="1"/>
    <brk id="508" max="42" man="1"/>
    <brk id="567" max="42" man="1"/>
    <brk id="615" max="42" man="1"/>
  </rowBreaks>
  <drawing r:id="rId2"/>
  <legacyDrawing r:id="rId3"/>
  <oleObjects>
    <mc:AlternateContent xmlns:mc="http://schemas.openxmlformats.org/markup-compatibility/2006">
      <mc:Choice Requires="x14">
        <oleObject progId="Equation.3" shapeId="5121" r:id="rId4">
          <objectPr defaultSize="0" autoPict="0" r:id="rId5">
            <anchor moveWithCells="1">
              <from>
                <xdr:col>2</xdr:col>
                <xdr:colOff>133350</xdr:colOff>
                <xdr:row>87</xdr:row>
                <xdr:rowOff>38100</xdr:rowOff>
              </from>
              <to>
                <xdr:col>10</xdr:col>
                <xdr:colOff>12700</xdr:colOff>
                <xdr:row>88</xdr:row>
                <xdr:rowOff>184150</xdr:rowOff>
              </to>
            </anchor>
          </objectPr>
        </oleObject>
      </mc:Choice>
      <mc:Fallback>
        <oleObject progId="Equation.3" shapeId="5121" r:id="rId4"/>
      </mc:Fallback>
    </mc:AlternateContent>
    <mc:AlternateContent xmlns:mc="http://schemas.openxmlformats.org/markup-compatibility/2006">
      <mc:Choice Requires="x14">
        <oleObject progId="Equation.3" shapeId="5128" r:id="rId6">
          <objectPr defaultSize="0" autoPict="0" r:id="rId7">
            <anchor moveWithCells="1">
              <from>
                <xdr:col>48</xdr:col>
                <xdr:colOff>127000</xdr:colOff>
                <xdr:row>125</xdr:row>
                <xdr:rowOff>76200</xdr:rowOff>
              </from>
              <to>
                <xdr:col>52</xdr:col>
                <xdr:colOff>31750</xdr:colOff>
                <xdr:row>126</xdr:row>
                <xdr:rowOff>107950</xdr:rowOff>
              </to>
            </anchor>
          </objectPr>
        </oleObject>
      </mc:Choice>
      <mc:Fallback>
        <oleObject progId="Equation.3" shapeId="5128" r:id="rId6"/>
      </mc:Fallback>
    </mc:AlternateContent>
    <mc:AlternateContent xmlns:mc="http://schemas.openxmlformats.org/markup-compatibility/2006">
      <mc:Choice Requires="x14">
        <oleObject progId="Equation.3" shapeId="5133" r:id="rId8">
          <objectPr defaultSize="0" autoPict="0" r:id="rId9">
            <anchor moveWithCells="1">
              <from>
                <xdr:col>9</xdr:col>
                <xdr:colOff>133350</xdr:colOff>
                <xdr:row>213</xdr:row>
                <xdr:rowOff>57150</xdr:rowOff>
              </from>
              <to>
                <xdr:col>13</xdr:col>
                <xdr:colOff>12700</xdr:colOff>
                <xdr:row>214</xdr:row>
                <xdr:rowOff>133350</xdr:rowOff>
              </to>
            </anchor>
          </objectPr>
        </oleObject>
      </mc:Choice>
      <mc:Fallback>
        <oleObject progId="Equation.3" shapeId="5133" r:id="rId8"/>
      </mc:Fallback>
    </mc:AlternateContent>
    <mc:AlternateContent xmlns:mc="http://schemas.openxmlformats.org/markup-compatibility/2006">
      <mc:Choice Requires="x14">
        <oleObject progId="Equation.3" shapeId="5134" r:id="rId10">
          <objectPr defaultSize="0" autoPict="0" r:id="rId11">
            <anchor moveWithCells="1">
              <from>
                <xdr:col>9</xdr:col>
                <xdr:colOff>146050</xdr:colOff>
                <xdr:row>215</xdr:row>
                <xdr:rowOff>76200</xdr:rowOff>
              </from>
              <to>
                <xdr:col>12</xdr:col>
                <xdr:colOff>146050</xdr:colOff>
                <xdr:row>216</xdr:row>
                <xdr:rowOff>146050</xdr:rowOff>
              </to>
            </anchor>
          </objectPr>
        </oleObject>
      </mc:Choice>
      <mc:Fallback>
        <oleObject progId="Equation.3" shapeId="5134" r:id="rId10"/>
      </mc:Fallback>
    </mc:AlternateContent>
    <mc:AlternateContent xmlns:mc="http://schemas.openxmlformats.org/markup-compatibility/2006">
      <mc:Choice Requires="x14">
        <oleObject progId="Equation.3" shapeId="5136" r:id="rId12">
          <objectPr defaultSize="0" autoPict="0" r:id="rId13">
            <anchor moveWithCells="1">
              <from>
                <xdr:col>13</xdr:col>
                <xdr:colOff>146050</xdr:colOff>
                <xdr:row>369</xdr:row>
                <xdr:rowOff>50800</xdr:rowOff>
              </from>
              <to>
                <xdr:col>23</xdr:col>
                <xdr:colOff>88900</xdr:colOff>
                <xdr:row>370</xdr:row>
                <xdr:rowOff>165100</xdr:rowOff>
              </to>
            </anchor>
          </objectPr>
        </oleObject>
      </mc:Choice>
      <mc:Fallback>
        <oleObject progId="Equation.3" shapeId="5136" r:id="rId12"/>
      </mc:Fallback>
    </mc:AlternateContent>
    <mc:AlternateContent xmlns:mc="http://schemas.openxmlformats.org/markup-compatibility/2006">
      <mc:Choice Requires="x14">
        <oleObject progId="Equation.3" shapeId="5137" r:id="rId14">
          <objectPr defaultSize="0" autoPict="0" r:id="rId15">
            <anchor moveWithCells="1">
              <from>
                <xdr:col>12</xdr:col>
                <xdr:colOff>127000</xdr:colOff>
                <xdr:row>388</xdr:row>
                <xdr:rowOff>38100</xdr:rowOff>
              </from>
              <to>
                <xdr:col>22</xdr:col>
                <xdr:colOff>69850</xdr:colOff>
                <xdr:row>389</xdr:row>
                <xdr:rowOff>146050</xdr:rowOff>
              </to>
            </anchor>
          </objectPr>
        </oleObject>
      </mc:Choice>
      <mc:Fallback>
        <oleObject progId="Equation.3" shapeId="5137" r:id="rId14"/>
      </mc:Fallback>
    </mc:AlternateContent>
    <mc:AlternateContent xmlns:mc="http://schemas.openxmlformats.org/markup-compatibility/2006">
      <mc:Choice Requires="x14">
        <oleObject progId="Equation.3" shapeId="5138" r:id="rId16">
          <objectPr defaultSize="0" autoPict="0" r:id="rId17">
            <anchor moveWithCells="1">
              <from>
                <xdr:col>13</xdr:col>
                <xdr:colOff>31750</xdr:colOff>
                <xdr:row>478</xdr:row>
                <xdr:rowOff>50800</xdr:rowOff>
              </from>
              <to>
                <xdr:col>22</xdr:col>
                <xdr:colOff>127000</xdr:colOff>
                <xdr:row>479</xdr:row>
                <xdr:rowOff>146050</xdr:rowOff>
              </to>
            </anchor>
          </objectPr>
        </oleObject>
      </mc:Choice>
      <mc:Fallback>
        <oleObject progId="Equation.3" shapeId="5138" r:id="rId16"/>
      </mc:Fallback>
    </mc:AlternateContent>
    <mc:AlternateContent xmlns:mc="http://schemas.openxmlformats.org/markup-compatibility/2006">
      <mc:Choice Requires="x14">
        <oleObject progId="Equation.3" shapeId="5139" r:id="rId18">
          <objectPr defaultSize="0" autoPict="0" r:id="rId13">
            <anchor moveWithCells="1">
              <from>
                <xdr:col>13</xdr:col>
                <xdr:colOff>31750</xdr:colOff>
                <xdr:row>596</xdr:row>
                <xdr:rowOff>69850</xdr:rowOff>
              </from>
              <to>
                <xdr:col>22</xdr:col>
                <xdr:colOff>127000</xdr:colOff>
                <xdr:row>597</xdr:row>
                <xdr:rowOff>107950</xdr:rowOff>
              </to>
            </anchor>
          </objectPr>
        </oleObject>
      </mc:Choice>
      <mc:Fallback>
        <oleObject progId="Equation.3" shapeId="5139" r:id="rId18"/>
      </mc:Fallback>
    </mc:AlternateContent>
    <mc:AlternateContent xmlns:mc="http://schemas.openxmlformats.org/markup-compatibility/2006">
      <mc:Choice Requires="x14">
        <oleObject progId="Equation.3" shapeId="5144" r:id="rId19">
          <objectPr defaultSize="0" autoPict="0" r:id="rId9">
            <anchor moveWithCells="1">
              <from>
                <xdr:col>10</xdr:col>
                <xdr:colOff>31750</xdr:colOff>
                <xdr:row>251</xdr:row>
                <xdr:rowOff>50800</xdr:rowOff>
              </from>
              <to>
                <xdr:col>13</xdr:col>
                <xdr:colOff>57150</xdr:colOff>
                <xdr:row>252</xdr:row>
                <xdr:rowOff>133350</xdr:rowOff>
              </to>
            </anchor>
          </objectPr>
        </oleObject>
      </mc:Choice>
      <mc:Fallback>
        <oleObject progId="Equation.3" shapeId="5144" r:id="rId19"/>
      </mc:Fallback>
    </mc:AlternateContent>
    <mc:AlternateContent xmlns:mc="http://schemas.openxmlformats.org/markup-compatibility/2006">
      <mc:Choice Requires="x14">
        <oleObject progId="Equation.3" shapeId="5145" r:id="rId20">
          <objectPr defaultSize="0" autoPict="0" r:id="rId11">
            <anchor moveWithCells="1">
              <from>
                <xdr:col>10</xdr:col>
                <xdr:colOff>38100</xdr:colOff>
                <xdr:row>253</xdr:row>
                <xdr:rowOff>57150</xdr:rowOff>
              </from>
              <to>
                <xdr:col>13</xdr:col>
                <xdr:colOff>38100</xdr:colOff>
                <xdr:row>254</xdr:row>
                <xdr:rowOff>146050</xdr:rowOff>
              </to>
            </anchor>
          </objectPr>
        </oleObject>
      </mc:Choice>
      <mc:Fallback>
        <oleObject progId="Equation.3" shapeId="5145" r:id="rId20"/>
      </mc:Fallback>
    </mc:AlternateContent>
    <mc:AlternateContent xmlns:mc="http://schemas.openxmlformats.org/markup-compatibility/2006">
      <mc:Choice Requires="x14">
        <oleObject progId="Equation.3" shapeId="5146" r:id="rId21">
          <objectPr defaultSize="0" autoPict="0" r:id="rId9">
            <anchor moveWithCells="1">
              <from>
                <xdr:col>10</xdr:col>
                <xdr:colOff>19050</xdr:colOff>
                <xdr:row>267</xdr:row>
                <xdr:rowOff>57150</xdr:rowOff>
              </from>
              <to>
                <xdr:col>13</xdr:col>
                <xdr:colOff>50800</xdr:colOff>
                <xdr:row>268</xdr:row>
                <xdr:rowOff>133350</xdr:rowOff>
              </to>
            </anchor>
          </objectPr>
        </oleObject>
      </mc:Choice>
      <mc:Fallback>
        <oleObject progId="Equation.3" shapeId="5146" r:id="rId21"/>
      </mc:Fallback>
    </mc:AlternateContent>
    <mc:AlternateContent xmlns:mc="http://schemas.openxmlformats.org/markup-compatibility/2006">
      <mc:Choice Requires="x14">
        <oleObject progId="Equation.3" shapeId="5147" r:id="rId22">
          <objectPr defaultSize="0" autoPict="0" r:id="rId11">
            <anchor moveWithCells="1">
              <from>
                <xdr:col>10</xdr:col>
                <xdr:colOff>38100</xdr:colOff>
                <xdr:row>269</xdr:row>
                <xdr:rowOff>50800</xdr:rowOff>
              </from>
              <to>
                <xdr:col>13</xdr:col>
                <xdr:colOff>38100</xdr:colOff>
                <xdr:row>270</xdr:row>
                <xdr:rowOff>88900</xdr:rowOff>
              </to>
            </anchor>
          </objectPr>
        </oleObject>
      </mc:Choice>
      <mc:Fallback>
        <oleObject progId="Equation.3" shapeId="5147" r:id="rId22"/>
      </mc:Fallback>
    </mc:AlternateContent>
    <mc:AlternateContent xmlns:mc="http://schemas.openxmlformats.org/markup-compatibility/2006">
      <mc:Choice Requires="x14">
        <oleObject progId="Equation.3" shapeId="5148" r:id="rId23">
          <objectPr defaultSize="0" autoPict="0" r:id="rId9">
            <anchor moveWithCells="1">
              <from>
                <xdr:col>10</xdr:col>
                <xdr:colOff>31750</xdr:colOff>
                <xdr:row>283</xdr:row>
                <xdr:rowOff>50800</xdr:rowOff>
              </from>
              <to>
                <xdr:col>13</xdr:col>
                <xdr:colOff>57150</xdr:colOff>
                <xdr:row>284</xdr:row>
                <xdr:rowOff>107950</xdr:rowOff>
              </to>
            </anchor>
          </objectPr>
        </oleObject>
      </mc:Choice>
      <mc:Fallback>
        <oleObject progId="Equation.3" shapeId="5148" r:id="rId23"/>
      </mc:Fallback>
    </mc:AlternateContent>
    <mc:AlternateContent xmlns:mc="http://schemas.openxmlformats.org/markup-compatibility/2006">
      <mc:Choice Requires="x14">
        <oleObject progId="Equation.3" shapeId="5149" r:id="rId24">
          <objectPr defaultSize="0" autoPict="0" r:id="rId11">
            <anchor moveWithCells="1">
              <from>
                <xdr:col>10</xdr:col>
                <xdr:colOff>50800</xdr:colOff>
                <xdr:row>285</xdr:row>
                <xdr:rowOff>50800</xdr:rowOff>
              </from>
              <to>
                <xdr:col>13</xdr:col>
                <xdr:colOff>50800</xdr:colOff>
                <xdr:row>286</xdr:row>
                <xdr:rowOff>114300</xdr:rowOff>
              </to>
            </anchor>
          </objectPr>
        </oleObject>
      </mc:Choice>
      <mc:Fallback>
        <oleObject progId="Equation.3" shapeId="5149" r:id="rId24"/>
      </mc:Fallback>
    </mc:AlternateContent>
    <mc:AlternateContent xmlns:mc="http://schemas.openxmlformats.org/markup-compatibility/2006">
      <mc:Choice Requires="x14">
        <oleObject progId="Equation.3" shapeId="5151" r:id="rId25">
          <objectPr defaultSize="0" autoPict="0" r:id="rId13">
            <anchor moveWithCells="1">
              <from>
                <xdr:col>12</xdr:col>
                <xdr:colOff>95250</xdr:colOff>
                <xdr:row>519</xdr:row>
                <xdr:rowOff>38100</xdr:rowOff>
              </from>
              <to>
                <xdr:col>22</xdr:col>
                <xdr:colOff>38100</xdr:colOff>
                <xdr:row>520</xdr:row>
                <xdr:rowOff>165100</xdr:rowOff>
              </to>
            </anchor>
          </objectPr>
        </oleObject>
      </mc:Choice>
      <mc:Fallback>
        <oleObject progId="Equation.3" shapeId="5151" r:id="rId25"/>
      </mc:Fallback>
    </mc:AlternateContent>
  </oleObjec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Z109"/>
  <sheetViews>
    <sheetView view="pageBreakPreview" topLeftCell="A94" zoomScaleNormal="100" zoomScaleSheetLayoutView="100" workbookViewId="0">
      <selection activeCell="AE113" sqref="AE113"/>
    </sheetView>
  </sheetViews>
  <sheetFormatPr defaultRowHeight="14.5" x14ac:dyDescent="0.35"/>
  <cols>
    <col min="1" max="68" width="2.26953125" customWidth="1"/>
    <col min="69" max="69" width="3.453125" customWidth="1"/>
    <col min="70" max="157" width="2.26953125" customWidth="1"/>
  </cols>
  <sheetData>
    <row r="1" spans="1:156" x14ac:dyDescent="0.35">
      <c r="A1" s="657" t="s">
        <v>111</v>
      </c>
      <c r="B1" s="657"/>
      <c r="C1" s="657"/>
      <c r="D1" s="657"/>
      <c r="E1" s="657"/>
      <c r="F1" s="658" t="str">
        <f>Introduction!D2</f>
        <v>TWO LANING WITH PAVED SHOULDER OF GADCHIROLI TO MUL SECTION OF NH-930 FROM KM 189.000 TO KM 229.692 &amp; KM 232.489 TO KM 233.414 (APPROX. LENGTH-41.617 KM) IN THE STATE OF MAHARASHTRA</v>
      </c>
      <c r="G1" s="658"/>
      <c r="H1" s="658"/>
      <c r="I1" s="658"/>
      <c r="J1" s="658"/>
      <c r="K1" s="658"/>
      <c r="L1" s="658"/>
      <c r="M1" s="658"/>
      <c r="N1" s="658"/>
      <c r="O1" s="658"/>
      <c r="P1" s="658"/>
      <c r="Q1" s="658"/>
      <c r="R1" s="658"/>
      <c r="S1" s="658"/>
      <c r="T1" s="658"/>
      <c r="U1" s="658"/>
      <c r="V1" s="658"/>
      <c r="W1" s="658"/>
      <c r="X1" s="658"/>
      <c r="Y1" s="658"/>
      <c r="Z1" s="658"/>
      <c r="AA1" s="658"/>
      <c r="AB1" s="658"/>
      <c r="AC1" s="658"/>
      <c r="AD1" s="658"/>
      <c r="AE1" s="658"/>
      <c r="AF1" s="658"/>
      <c r="AG1" s="658"/>
      <c r="AH1" s="658"/>
      <c r="AI1" s="658"/>
      <c r="AJ1" s="658"/>
      <c r="AK1" s="658"/>
      <c r="AL1" s="658"/>
      <c r="AM1" s="658"/>
      <c r="AN1" s="657" t="s">
        <v>111</v>
      </c>
      <c r="AO1" s="657"/>
      <c r="AP1" s="657"/>
      <c r="AQ1" s="657"/>
      <c r="AR1" s="657"/>
      <c r="AS1" s="658" t="str">
        <f>F1</f>
        <v>TWO LANING WITH PAVED SHOULDER OF GADCHIROLI TO MUL SECTION OF NH-930 FROM KM 189.000 TO KM 229.692 &amp; KM 232.489 TO KM 233.414 (APPROX. LENGTH-41.617 KM) IN THE STATE OF MAHARASHTRA</v>
      </c>
      <c r="AT1" s="658"/>
      <c r="AU1" s="658"/>
      <c r="AV1" s="658"/>
      <c r="AW1" s="658"/>
      <c r="AX1" s="658"/>
      <c r="AY1" s="658"/>
      <c r="AZ1" s="658"/>
      <c r="BA1" s="658"/>
      <c r="BB1" s="658"/>
      <c r="BC1" s="658"/>
      <c r="BD1" s="658"/>
      <c r="BE1" s="658"/>
      <c r="BF1" s="658"/>
      <c r="BG1" s="658"/>
      <c r="BH1" s="658"/>
      <c r="BI1" s="658"/>
      <c r="BJ1" s="658"/>
      <c r="BK1" s="658"/>
      <c r="BL1" s="658"/>
      <c r="BM1" s="658"/>
      <c r="BN1" s="658"/>
      <c r="BO1" s="658"/>
      <c r="BP1" s="658"/>
      <c r="BQ1" s="658"/>
      <c r="BR1" s="658"/>
      <c r="BS1" s="658"/>
      <c r="BT1" s="658"/>
      <c r="BU1" s="658"/>
      <c r="BV1" s="658"/>
      <c r="BW1" s="658"/>
      <c r="BX1" s="658"/>
      <c r="BY1" s="658"/>
      <c r="BZ1" s="658"/>
      <c r="CA1" s="657" t="s">
        <v>111</v>
      </c>
      <c r="CB1" s="657"/>
      <c r="CC1" s="657"/>
      <c r="CD1" s="657"/>
      <c r="CE1" s="657"/>
      <c r="CF1" s="658" t="str">
        <f>AS1</f>
        <v>TWO LANING WITH PAVED SHOULDER OF GADCHIROLI TO MUL SECTION OF NH-930 FROM KM 189.000 TO KM 229.692 &amp; KM 232.489 TO KM 233.414 (APPROX. LENGTH-41.617 KM) IN THE STATE OF MAHARASHTRA</v>
      </c>
      <c r="CG1" s="658"/>
      <c r="CH1" s="658"/>
      <c r="CI1" s="658"/>
      <c r="CJ1" s="658"/>
      <c r="CK1" s="658"/>
      <c r="CL1" s="658"/>
      <c r="CM1" s="658"/>
      <c r="CN1" s="658"/>
      <c r="CO1" s="658"/>
      <c r="CP1" s="658"/>
      <c r="CQ1" s="658"/>
      <c r="CR1" s="658"/>
      <c r="CS1" s="658"/>
      <c r="CT1" s="658"/>
      <c r="CU1" s="658"/>
      <c r="CV1" s="658"/>
      <c r="CW1" s="658"/>
      <c r="CX1" s="658"/>
      <c r="CY1" s="658"/>
      <c r="CZ1" s="658"/>
      <c r="DA1" s="658"/>
      <c r="DB1" s="658"/>
      <c r="DC1" s="658"/>
      <c r="DD1" s="658"/>
      <c r="DE1" s="658"/>
      <c r="DF1" s="658"/>
      <c r="DG1" s="658"/>
      <c r="DH1" s="658"/>
      <c r="DI1" s="658"/>
      <c r="DJ1" s="658"/>
      <c r="DK1" s="658"/>
      <c r="DL1" s="658"/>
      <c r="DM1" s="658"/>
      <c r="DN1" s="657" t="s">
        <v>111</v>
      </c>
      <c r="DO1" s="657"/>
      <c r="DP1" s="657"/>
      <c r="DQ1" s="657"/>
      <c r="DR1" s="657"/>
      <c r="DS1" s="658" t="str">
        <f>CF1</f>
        <v>TWO LANING WITH PAVED SHOULDER OF GADCHIROLI TO MUL SECTION OF NH-930 FROM KM 189.000 TO KM 229.692 &amp; KM 232.489 TO KM 233.414 (APPROX. LENGTH-41.617 KM) IN THE STATE OF MAHARASHTRA</v>
      </c>
      <c r="DT1" s="658"/>
      <c r="DU1" s="658"/>
      <c r="DV1" s="658"/>
      <c r="DW1" s="658"/>
      <c r="DX1" s="658"/>
      <c r="DY1" s="658"/>
      <c r="DZ1" s="658"/>
      <c r="EA1" s="658"/>
      <c r="EB1" s="658"/>
      <c r="EC1" s="658"/>
      <c r="ED1" s="658"/>
      <c r="EE1" s="658"/>
      <c r="EF1" s="658"/>
      <c r="EG1" s="658"/>
      <c r="EH1" s="658"/>
      <c r="EI1" s="658"/>
      <c r="EJ1" s="658"/>
      <c r="EK1" s="658"/>
      <c r="EL1" s="658"/>
      <c r="EM1" s="658"/>
      <c r="EN1" s="658"/>
      <c r="EO1" s="658"/>
      <c r="EP1" s="658"/>
      <c r="EQ1" s="658"/>
      <c r="ER1" s="658"/>
      <c r="ES1" s="658"/>
      <c r="ET1" s="658"/>
      <c r="EU1" s="658"/>
      <c r="EV1" s="658"/>
      <c r="EW1" s="658"/>
      <c r="EX1" s="658"/>
      <c r="EY1" s="658"/>
      <c r="EZ1" s="658"/>
    </row>
    <row r="2" spans="1:156" ht="26.25" customHeight="1" x14ac:dyDescent="0.35">
      <c r="A2" s="657"/>
      <c r="B2" s="657"/>
      <c r="C2" s="657"/>
      <c r="D2" s="657"/>
      <c r="E2" s="657"/>
      <c r="F2" s="658"/>
      <c r="G2" s="658"/>
      <c r="H2" s="658"/>
      <c r="I2" s="658"/>
      <c r="J2" s="658"/>
      <c r="K2" s="658"/>
      <c r="L2" s="658"/>
      <c r="M2" s="658"/>
      <c r="N2" s="658"/>
      <c r="O2" s="658"/>
      <c r="P2" s="658"/>
      <c r="Q2" s="658"/>
      <c r="R2" s="658"/>
      <c r="S2" s="658"/>
      <c r="T2" s="658"/>
      <c r="U2" s="658"/>
      <c r="V2" s="658"/>
      <c r="W2" s="658"/>
      <c r="X2" s="658"/>
      <c r="Y2" s="658"/>
      <c r="Z2" s="658"/>
      <c r="AA2" s="658"/>
      <c r="AB2" s="658"/>
      <c r="AC2" s="658"/>
      <c r="AD2" s="658"/>
      <c r="AE2" s="658"/>
      <c r="AF2" s="658"/>
      <c r="AG2" s="658"/>
      <c r="AH2" s="658"/>
      <c r="AI2" s="658"/>
      <c r="AJ2" s="658"/>
      <c r="AK2" s="658"/>
      <c r="AL2" s="658"/>
      <c r="AM2" s="658"/>
      <c r="AN2" s="657"/>
      <c r="AO2" s="657"/>
      <c r="AP2" s="657"/>
      <c r="AQ2" s="657"/>
      <c r="AR2" s="657"/>
      <c r="AS2" s="658"/>
      <c r="AT2" s="658"/>
      <c r="AU2" s="658"/>
      <c r="AV2" s="658"/>
      <c r="AW2" s="658"/>
      <c r="AX2" s="658"/>
      <c r="AY2" s="658"/>
      <c r="AZ2" s="658"/>
      <c r="BA2" s="658"/>
      <c r="BB2" s="658"/>
      <c r="BC2" s="658"/>
      <c r="BD2" s="658"/>
      <c r="BE2" s="658"/>
      <c r="BF2" s="658"/>
      <c r="BG2" s="658"/>
      <c r="BH2" s="658"/>
      <c r="BI2" s="658"/>
      <c r="BJ2" s="658"/>
      <c r="BK2" s="658"/>
      <c r="BL2" s="658"/>
      <c r="BM2" s="658"/>
      <c r="BN2" s="658"/>
      <c r="BO2" s="658"/>
      <c r="BP2" s="658"/>
      <c r="BQ2" s="658"/>
      <c r="BR2" s="658"/>
      <c r="BS2" s="658"/>
      <c r="BT2" s="658"/>
      <c r="BU2" s="658"/>
      <c r="BV2" s="658"/>
      <c r="BW2" s="658"/>
      <c r="BX2" s="658"/>
      <c r="BY2" s="658"/>
      <c r="BZ2" s="658"/>
      <c r="CA2" s="657"/>
      <c r="CB2" s="657"/>
      <c r="CC2" s="657"/>
      <c r="CD2" s="657"/>
      <c r="CE2" s="657"/>
      <c r="CF2" s="658"/>
      <c r="CG2" s="658"/>
      <c r="CH2" s="658"/>
      <c r="CI2" s="658"/>
      <c r="CJ2" s="658"/>
      <c r="CK2" s="658"/>
      <c r="CL2" s="658"/>
      <c r="CM2" s="658"/>
      <c r="CN2" s="658"/>
      <c r="CO2" s="658"/>
      <c r="CP2" s="658"/>
      <c r="CQ2" s="658"/>
      <c r="CR2" s="658"/>
      <c r="CS2" s="658"/>
      <c r="CT2" s="658"/>
      <c r="CU2" s="658"/>
      <c r="CV2" s="658"/>
      <c r="CW2" s="658"/>
      <c r="CX2" s="658"/>
      <c r="CY2" s="658"/>
      <c r="CZ2" s="658"/>
      <c r="DA2" s="658"/>
      <c r="DB2" s="658"/>
      <c r="DC2" s="658"/>
      <c r="DD2" s="658"/>
      <c r="DE2" s="658"/>
      <c r="DF2" s="658"/>
      <c r="DG2" s="658"/>
      <c r="DH2" s="658"/>
      <c r="DI2" s="658"/>
      <c r="DJ2" s="658"/>
      <c r="DK2" s="658"/>
      <c r="DL2" s="658"/>
      <c r="DM2" s="658"/>
      <c r="DN2" s="657"/>
      <c r="DO2" s="657"/>
      <c r="DP2" s="657"/>
      <c r="DQ2" s="657"/>
      <c r="DR2" s="657"/>
      <c r="DS2" s="658"/>
      <c r="DT2" s="658"/>
      <c r="DU2" s="658"/>
      <c r="DV2" s="658"/>
      <c r="DW2" s="658"/>
      <c r="DX2" s="658"/>
      <c r="DY2" s="658"/>
      <c r="DZ2" s="658"/>
      <c r="EA2" s="658"/>
      <c r="EB2" s="658"/>
      <c r="EC2" s="658"/>
      <c r="ED2" s="658"/>
      <c r="EE2" s="658"/>
      <c r="EF2" s="658"/>
      <c r="EG2" s="658"/>
      <c r="EH2" s="658"/>
      <c r="EI2" s="658"/>
      <c r="EJ2" s="658"/>
      <c r="EK2" s="658"/>
      <c r="EL2" s="658"/>
      <c r="EM2" s="658"/>
      <c r="EN2" s="658"/>
      <c r="EO2" s="658"/>
      <c r="EP2" s="658"/>
      <c r="EQ2" s="658"/>
      <c r="ER2" s="658"/>
      <c r="ES2" s="658"/>
      <c r="ET2" s="658"/>
      <c r="EU2" s="658"/>
      <c r="EV2" s="658"/>
      <c r="EW2" s="658"/>
      <c r="EX2" s="658"/>
      <c r="EY2" s="658"/>
      <c r="EZ2" s="658"/>
    </row>
    <row r="3" spans="1:156" ht="8.25" customHeight="1" x14ac:dyDescent="0.35">
      <c r="A3" s="657" t="s">
        <v>112</v>
      </c>
      <c r="B3" s="657"/>
      <c r="C3" s="657"/>
      <c r="D3" s="657"/>
      <c r="E3" s="657"/>
      <c r="F3" s="1017" t="str">
        <f>Introduction!D4</f>
        <v>DESIGN OF RCC RETAINING WALL (TOE WALL) FOR HEIGHT  
 UPTO 4m Height</v>
      </c>
      <c r="G3" s="1017"/>
      <c r="H3" s="1017"/>
      <c r="I3" s="1017"/>
      <c r="J3" s="1017"/>
      <c r="K3" s="1017"/>
      <c r="L3" s="1017"/>
      <c r="M3" s="1017"/>
      <c r="N3" s="1017"/>
      <c r="O3" s="1017"/>
      <c r="P3" s="1017"/>
      <c r="Q3" s="1017"/>
      <c r="R3" s="1017"/>
      <c r="S3" s="1017"/>
      <c r="T3" s="1017"/>
      <c r="U3" s="1017"/>
      <c r="V3" s="1017"/>
      <c r="W3" s="1017"/>
      <c r="X3" s="1017"/>
      <c r="Y3" s="1017"/>
      <c r="Z3" s="1017"/>
      <c r="AA3" s="1017"/>
      <c r="AB3" s="1017"/>
      <c r="AC3" s="1017"/>
      <c r="AD3" s="1017"/>
      <c r="AE3" s="1017"/>
      <c r="AF3" s="1017"/>
      <c r="AG3" s="1017"/>
      <c r="AH3" s="1017"/>
      <c r="AI3" s="1017"/>
      <c r="AJ3" s="1017"/>
      <c r="AK3" s="1017"/>
      <c r="AL3" s="1017"/>
      <c r="AM3" s="1017"/>
      <c r="AN3" s="657" t="s">
        <v>112</v>
      </c>
      <c r="AO3" s="657"/>
      <c r="AP3" s="657"/>
      <c r="AQ3" s="657"/>
      <c r="AR3" s="657"/>
      <c r="AS3" s="1017" t="str">
        <f>F3</f>
        <v>DESIGN OF RCC RETAINING WALL (TOE WALL) FOR HEIGHT  
 UPTO 4m Height</v>
      </c>
      <c r="AT3" s="1017"/>
      <c r="AU3" s="1017"/>
      <c r="AV3" s="1017"/>
      <c r="AW3" s="1017"/>
      <c r="AX3" s="1017"/>
      <c r="AY3" s="1017"/>
      <c r="AZ3" s="1017"/>
      <c r="BA3" s="1017"/>
      <c r="BB3" s="1017"/>
      <c r="BC3" s="1017"/>
      <c r="BD3" s="1017"/>
      <c r="BE3" s="1017"/>
      <c r="BF3" s="1017"/>
      <c r="BG3" s="1017"/>
      <c r="BH3" s="1017"/>
      <c r="BI3" s="1017"/>
      <c r="BJ3" s="1017"/>
      <c r="BK3" s="1017"/>
      <c r="BL3" s="1017"/>
      <c r="BM3" s="1017"/>
      <c r="BN3" s="1017"/>
      <c r="BO3" s="1017"/>
      <c r="BP3" s="1017"/>
      <c r="BQ3" s="1017"/>
      <c r="BR3" s="1017"/>
      <c r="BS3" s="1017"/>
      <c r="BT3" s="1017"/>
      <c r="BU3" s="1017"/>
      <c r="BV3" s="1017"/>
      <c r="BW3" s="1017"/>
      <c r="BX3" s="1017"/>
      <c r="BY3" s="1017"/>
      <c r="BZ3" s="1017"/>
      <c r="CA3" s="657" t="s">
        <v>112</v>
      </c>
      <c r="CB3" s="657"/>
      <c r="CC3" s="657"/>
      <c r="CD3" s="657"/>
      <c r="CE3" s="657"/>
      <c r="CF3" s="1017" t="str">
        <f>AS3</f>
        <v>DESIGN OF RCC RETAINING WALL (TOE WALL) FOR HEIGHT  
 UPTO 4m Height</v>
      </c>
      <c r="CG3" s="1017"/>
      <c r="CH3" s="1017"/>
      <c r="CI3" s="1017"/>
      <c r="CJ3" s="1017"/>
      <c r="CK3" s="1017"/>
      <c r="CL3" s="1017"/>
      <c r="CM3" s="1017"/>
      <c r="CN3" s="1017"/>
      <c r="CO3" s="1017"/>
      <c r="CP3" s="1017"/>
      <c r="CQ3" s="1017"/>
      <c r="CR3" s="1017"/>
      <c r="CS3" s="1017"/>
      <c r="CT3" s="1017"/>
      <c r="CU3" s="1017"/>
      <c r="CV3" s="1017"/>
      <c r="CW3" s="1017"/>
      <c r="CX3" s="1017"/>
      <c r="CY3" s="1017"/>
      <c r="CZ3" s="1017"/>
      <c r="DA3" s="1017"/>
      <c r="DB3" s="1017"/>
      <c r="DC3" s="1017"/>
      <c r="DD3" s="1017"/>
      <c r="DE3" s="1017"/>
      <c r="DF3" s="1017"/>
      <c r="DG3" s="1017"/>
      <c r="DH3" s="1017"/>
      <c r="DI3" s="1017"/>
      <c r="DJ3" s="1017"/>
      <c r="DK3" s="1017"/>
      <c r="DL3" s="1017"/>
      <c r="DM3" s="1017"/>
      <c r="DN3" s="657" t="s">
        <v>112</v>
      </c>
      <c r="DO3" s="657"/>
      <c r="DP3" s="657"/>
      <c r="DQ3" s="657"/>
      <c r="DR3" s="657"/>
      <c r="DS3" s="1017" t="str">
        <f>CF3</f>
        <v>DESIGN OF RCC RETAINING WALL (TOE WALL) FOR HEIGHT  
 UPTO 4m Height</v>
      </c>
      <c r="DT3" s="1017"/>
      <c r="DU3" s="1017"/>
      <c r="DV3" s="1017"/>
      <c r="DW3" s="1017"/>
      <c r="DX3" s="1017"/>
      <c r="DY3" s="1017"/>
      <c r="DZ3" s="1017"/>
      <c r="EA3" s="1017"/>
      <c r="EB3" s="1017"/>
      <c r="EC3" s="1017"/>
      <c r="ED3" s="1017"/>
      <c r="EE3" s="1017"/>
      <c r="EF3" s="1017"/>
      <c r="EG3" s="1017"/>
      <c r="EH3" s="1017"/>
      <c r="EI3" s="1017"/>
      <c r="EJ3" s="1017"/>
      <c r="EK3" s="1017"/>
      <c r="EL3" s="1017"/>
      <c r="EM3" s="1017"/>
      <c r="EN3" s="1017"/>
      <c r="EO3" s="1017"/>
      <c r="EP3" s="1017"/>
      <c r="EQ3" s="1017"/>
      <c r="ER3" s="1017"/>
      <c r="ES3" s="1017"/>
      <c r="ET3" s="1017"/>
      <c r="EU3" s="1017"/>
      <c r="EV3" s="1017"/>
      <c r="EW3" s="1017"/>
      <c r="EX3" s="1017"/>
      <c r="EY3" s="1017"/>
      <c r="EZ3" s="1017"/>
    </row>
    <row r="4" spans="1:156" ht="9.75" customHeight="1" x14ac:dyDescent="0.35">
      <c r="A4" s="657"/>
      <c r="B4" s="657"/>
      <c r="C4" s="657"/>
      <c r="D4" s="657"/>
      <c r="E4" s="657"/>
      <c r="F4" s="1017"/>
      <c r="G4" s="1017"/>
      <c r="H4" s="1017"/>
      <c r="I4" s="1017"/>
      <c r="J4" s="1017"/>
      <c r="K4" s="1017"/>
      <c r="L4" s="1017"/>
      <c r="M4" s="1017"/>
      <c r="N4" s="1017"/>
      <c r="O4" s="1017"/>
      <c r="P4" s="1017"/>
      <c r="Q4" s="1017"/>
      <c r="R4" s="1017"/>
      <c r="S4" s="1017"/>
      <c r="T4" s="1017"/>
      <c r="U4" s="1017"/>
      <c r="V4" s="1017"/>
      <c r="W4" s="1017"/>
      <c r="X4" s="1017"/>
      <c r="Y4" s="1017"/>
      <c r="Z4" s="1017"/>
      <c r="AA4" s="1017"/>
      <c r="AB4" s="1017"/>
      <c r="AC4" s="1017"/>
      <c r="AD4" s="1017"/>
      <c r="AE4" s="1017"/>
      <c r="AF4" s="1017"/>
      <c r="AG4" s="1017"/>
      <c r="AH4" s="1017"/>
      <c r="AI4" s="1017"/>
      <c r="AJ4" s="1017"/>
      <c r="AK4" s="1017"/>
      <c r="AL4" s="1017"/>
      <c r="AM4" s="1017"/>
      <c r="AN4" s="657"/>
      <c r="AO4" s="657"/>
      <c r="AP4" s="657"/>
      <c r="AQ4" s="657"/>
      <c r="AR4" s="657"/>
      <c r="AS4" s="1017"/>
      <c r="AT4" s="1017"/>
      <c r="AU4" s="1017"/>
      <c r="AV4" s="1017"/>
      <c r="AW4" s="1017"/>
      <c r="AX4" s="1017"/>
      <c r="AY4" s="1017"/>
      <c r="AZ4" s="1017"/>
      <c r="BA4" s="1017"/>
      <c r="BB4" s="1017"/>
      <c r="BC4" s="1017"/>
      <c r="BD4" s="1017"/>
      <c r="BE4" s="1017"/>
      <c r="BF4" s="1017"/>
      <c r="BG4" s="1017"/>
      <c r="BH4" s="1017"/>
      <c r="BI4" s="1017"/>
      <c r="BJ4" s="1017"/>
      <c r="BK4" s="1017"/>
      <c r="BL4" s="1017"/>
      <c r="BM4" s="1017"/>
      <c r="BN4" s="1017"/>
      <c r="BO4" s="1017"/>
      <c r="BP4" s="1017"/>
      <c r="BQ4" s="1017"/>
      <c r="BR4" s="1017"/>
      <c r="BS4" s="1017"/>
      <c r="BT4" s="1017"/>
      <c r="BU4" s="1017"/>
      <c r="BV4" s="1017"/>
      <c r="BW4" s="1017"/>
      <c r="BX4" s="1017"/>
      <c r="BY4" s="1017"/>
      <c r="BZ4" s="1017"/>
      <c r="CA4" s="657"/>
      <c r="CB4" s="657"/>
      <c r="CC4" s="657"/>
      <c r="CD4" s="657"/>
      <c r="CE4" s="657"/>
      <c r="CF4" s="1017"/>
      <c r="CG4" s="1017"/>
      <c r="CH4" s="1017"/>
      <c r="CI4" s="1017"/>
      <c r="CJ4" s="1017"/>
      <c r="CK4" s="1017"/>
      <c r="CL4" s="1017"/>
      <c r="CM4" s="1017"/>
      <c r="CN4" s="1017"/>
      <c r="CO4" s="1017"/>
      <c r="CP4" s="1017"/>
      <c r="CQ4" s="1017"/>
      <c r="CR4" s="1017"/>
      <c r="CS4" s="1017"/>
      <c r="CT4" s="1017"/>
      <c r="CU4" s="1017"/>
      <c r="CV4" s="1017"/>
      <c r="CW4" s="1017"/>
      <c r="CX4" s="1017"/>
      <c r="CY4" s="1017"/>
      <c r="CZ4" s="1017"/>
      <c r="DA4" s="1017"/>
      <c r="DB4" s="1017"/>
      <c r="DC4" s="1017"/>
      <c r="DD4" s="1017"/>
      <c r="DE4" s="1017"/>
      <c r="DF4" s="1017"/>
      <c r="DG4" s="1017"/>
      <c r="DH4" s="1017"/>
      <c r="DI4" s="1017"/>
      <c r="DJ4" s="1017"/>
      <c r="DK4" s="1017"/>
      <c r="DL4" s="1017"/>
      <c r="DM4" s="1017"/>
      <c r="DN4" s="657"/>
      <c r="DO4" s="657"/>
      <c r="DP4" s="657"/>
      <c r="DQ4" s="657"/>
      <c r="DR4" s="657"/>
      <c r="DS4" s="1017"/>
      <c r="DT4" s="1017"/>
      <c r="DU4" s="1017"/>
      <c r="DV4" s="1017"/>
      <c r="DW4" s="1017"/>
      <c r="DX4" s="1017"/>
      <c r="DY4" s="1017"/>
      <c r="DZ4" s="1017"/>
      <c r="EA4" s="1017"/>
      <c r="EB4" s="1017"/>
      <c r="EC4" s="1017"/>
      <c r="ED4" s="1017"/>
      <c r="EE4" s="1017"/>
      <c r="EF4" s="1017"/>
      <c r="EG4" s="1017"/>
      <c r="EH4" s="1017"/>
      <c r="EI4" s="1017"/>
      <c r="EJ4" s="1017"/>
      <c r="EK4" s="1017"/>
      <c r="EL4" s="1017"/>
      <c r="EM4" s="1017"/>
      <c r="EN4" s="1017"/>
      <c r="EO4" s="1017"/>
      <c r="EP4" s="1017"/>
      <c r="EQ4" s="1017"/>
      <c r="ER4" s="1017"/>
      <c r="ES4" s="1017"/>
      <c r="ET4" s="1017"/>
      <c r="EU4" s="1017"/>
      <c r="EV4" s="1017"/>
      <c r="EW4" s="1017"/>
      <c r="EX4" s="1017"/>
      <c r="EY4" s="1017"/>
      <c r="EZ4" s="1017"/>
    </row>
    <row r="5" spans="1:156" ht="15" customHeight="1" x14ac:dyDescent="0.35">
      <c r="C5" s="251"/>
      <c r="AM5" s="45"/>
      <c r="DP5" s="251"/>
      <c r="EZ5" s="45"/>
    </row>
    <row r="6" spans="1:156" ht="15" customHeight="1" x14ac:dyDescent="0.35">
      <c r="B6" s="72">
        <v>5</v>
      </c>
      <c r="C6" s="233" t="s">
        <v>396</v>
      </c>
      <c r="D6" s="328"/>
      <c r="E6" s="328"/>
      <c r="F6" s="328"/>
      <c r="G6" s="328"/>
      <c r="H6" s="328"/>
      <c r="I6" s="328"/>
      <c r="J6" s="328"/>
      <c r="AM6" s="45"/>
      <c r="DO6" s="72"/>
      <c r="DP6" s="233"/>
      <c r="DQ6" s="465"/>
      <c r="DR6" s="465"/>
      <c r="DS6" s="465"/>
      <c r="DT6" s="465"/>
      <c r="DU6" s="465"/>
      <c r="DV6" s="465"/>
      <c r="DW6" s="465"/>
      <c r="EZ6" s="45"/>
    </row>
    <row r="7" spans="1:156" x14ac:dyDescent="0.35">
      <c r="C7" s="281" t="s">
        <v>339</v>
      </c>
      <c r="AM7" s="45"/>
      <c r="AP7" s="281" t="s">
        <v>351</v>
      </c>
      <c r="BZ7" s="45"/>
      <c r="CC7" s="281" t="s">
        <v>350</v>
      </c>
      <c r="DM7" s="45"/>
      <c r="DP7" s="281" t="s">
        <v>494</v>
      </c>
      <c r="EZ7" s="45"/>
    </row>
    <row r="8" spans="1:156" ht="31.5" customHeight="1" x14ac:dyDescent="0.35">
      <c r="C8" s="1018" t="s">
        <v>241</v>
      </c>
      <c r="D8" s="1018"/>
      <c r="E8" s="1018"/>
      <c r="F8" s="1018"/>
      <c r="G8" s="1018"/>
      <c r="H8" s="1018"/>
      <c r="I8" s="1018"/>
      <c r="J8" s="1018"/>
      <c r="K8" s="1018"/>
      <c r="L8" s="1018"/>
      <c r="M8" s="1018"/>
      <c r="N8" s="1018"/>
      <c r="O8" s="1018"/>
      <c r="P8" s="1018"/>
      <c r="Q8" s="1018"/>
      <c r="R8" s="1018"/>
      <c r="S8" s="1018"/>
      <c r="T8" s="1018"/>
      <c r="U8" s="1018"/>
      <c r="V8" s="1018"/>
      <c r="W8" s="1018"/>
      <c r="X8" s="1018"/>
      <c r="Y8" s="1018"/>
      <c r="Z8" s="1018"/>
      <c r="AA8" s="1018"/>
      <c r="AB8" s="1018"/>
      <c r="AC8" s="1018"/>
      <c r="AD8" s="1018"/>
      <c r="AE8" s="1018"/>
      <c r="AF8" s="1018"/>
      <c r="AG8" s="1018"/>
      <c r="AH8" s="1018"/>
      <c r="AI8" s="1018"/>
      <c r="AJ8" s="1018"/>
      <c r="AK8" s="1018"/>
      <c r="AL8" s="1018"/>
      <c r="AM8" s="45"/>
      <c r="AP8" s="1018" t="s">
        <v>241</v>
      </c>
      <c r="AQ8" s="1018"/>
      <c r="AR8" s="1018"/>
      <c r="AS8" s="1018"/>
      <c r="AT8" s="1018"/>
      <c r="AU8" s="1018"/>
      <c r="AV8" s="1018"/>
      <c r="AW8" s="1018"/>
      <c r="AX8" s="1018"/>
      <c r="AY8" s="1018"/>
      <c r="AZ8" s="1018"/>
      <c r="BA8" s="1018"/>
      <c r="BB8" s="1018"/>
      <c r="BC8" s="1018"/>
      <c r="BD8" s="1018"/>
      <c r="BE8" s="1018"/>
      <c r="BF8" s="1018"/>
      <c r="BG8" s="1018"/>
      <c r="BH8" s="1018"/>
      <c r="BI8" s="1018"/>
      <c r="BJ8" s="1018"/>
      <c r="BK8" s="1018"/>
      <c r="BL8" s="1018"/>
      <c r="BM8" s="1018"/>
      <c r="BN8" s="1018"/>
      <c r="BO8" s="1018"/>
      <c r="BP8" s="1018"/>
      <c r="BQ8" s="1018"/>
      <c r="BR8" s="1018"/>
      <c r="BS8" s="1018"/>
      <c r="BT8" s="1018"/>
      <c r="BU8" s="1018"/>
      <c r="BV8" s="1018"/>
      <c r="BW8" s="1018"/>
      <c r="BX8" s="1018"/>
      <c r="BY8" s="1018"/>
      <c r="BZ8" s="45"/>
      <c r="CC8" s="1018" t="s">
        <v>241</v>
      </c>
      <c r="CD8" s="1018"/>
      <c r="CE8" s="1018"/>
      <c r="CF8" s="1018"/>
      <c r="CG8" s="1018"/>
      <c r="CH8" s="1018"/>
      <c r="CI8" s="1018"/>
      <c r="CJ8" s="1018"/>
      <c r="CK8" s="1018"/>
      <c r="CL8" s="1018"/>
      <c r="CM8" s="1018"/>
      <c r="CN8" s="1018"/>
      <c r="CO8" s="1018"/>
      <c r="CP8" s="1018"/>
      <c r="CQ8" s="1018"/>
      <c r="CR8" s="1018"/>
      <c r="CS8" s="1018"/>
      <c r="CT8" s="1018"/>
      <c r="CU8" s="1018"/>
      <c r="CV8" s="1018"/>
      <c r="CW8" s="1018"/>
      <c r="CX8" s="1018"/>
      <c r="CY8" s="1018"/>
      <c r="CZ8" s="1018"/>
      <c r="DA8" s="1018"/>
      <c r="DB8" s="1018"/>
      <c r="DC8" s="1018"/>
      <c r="DD8" s="1018"/>
      <c r="DE8" s="1018"/>
      <c r="DF8" s="1018"/>
      <c r="DG8" s="1018"/>
      <c r="DH8" s="1018"/>
      <c r="DI8" s="1018"/>
      <c r="DJ8" s="1018"/>
      <c r="DK8" s="1018"/>
      <c r="DL8" s="1018"/>
      <c r="DM8" s="45"/>
      <c r="DP8" s="1018" t="s">
        <v>241</v>
      </c>
      <c r="DQ8" s="1018"/>
      <c r="DR8" s="1018"/>
      <c r="DS8" s="1018"/>
      <c r="DT8" s="1018"/>
      <c r="DU8" s="1018"/>
      <c r="DV8" s="1018"/>
      <c r="DW8" s="1018"/>
      <c r="DX8" s="1018"/>
      <c r="DY8" s="1018"/>
      <c r="DZ8" s="1018"/>
      <c r="EA8" s="1018"/>
      <c r="EB8" s="1018"/>
      <c r="EC8" s="1018"/>
      <c r="ED8" s="1018"/>
      <c r="EE8" s="1018"/>
      <c r="EF8" s="1018"/>
      <c r="EG8" s="1018"/>
      <c r="EH8" s="1018"/>
      <c r="EI8" s="1018"/>
      <c r="EJ8" s="1018"/>
      <c r="EK8" s="1018"/>
      <c r="EL8" s="1018"/>
      <c r="EM8" s="1018"/>
      <c r="EN8" s="1018"/>
      <c r="EO8" s="1018"/>
      <c r="EP8" s="1018"/>
      <c r="EQ8" s="1018"/>
      <c r="ER8" s="1018"/>
      <c r="ES8" s="1018"/>
      <c r="ET8" s="1018"/>
      <c r="EU8" s="1018"/>
      <c r="EV8" s="1018"/>
      <c r="EW8" s="1018"/>
      <c r="EX8" s="1018"/>
      <c r="EY8" s="1018"/>
      <c r="EZ8" s="45"/>
    </row>
    <row r="9" spans="1:156" x14ac:dyDescent="0.35">
      <c r="C9" s="251"/>
      <c r="AM9" s="45"/>
      <c r="AP9" s="251"/>
      <c r="BZ9" s="45"/>
      <c r="CC9" s="251"/>
      <c r="DM9" s="45"/>
      <c r="DP9" s="251"/>
      <c r="EZ9" s="45"/>
    </row>
    <row r="10" spans="1:156" ht="16.5" customHeight="1" x14ac:dyDescent="0.45">
      <c r="C10" s="53" t="s">
        <v>121</v>
      </c>
      <c r="D10" s="45"/>
      <c r="E10" s="45"/>
      <c r="F10" s="45"/>
      <c r="G10" s="45"/>
      <c r="H10" s="45"/>
      <c r="I10" s="45"/>
      <c r="J10" s="252"/>
      <c r="K10" s="45"/>
      <c r="L10" s="45"/>
      <c r="M10" s="252"/>
      <c r="N10" s="252"/>
      <c r="O10" s="252"/>
      <c r="P10" s="252"/>
      <c r="Q10" s="252"/>
      <c r="R10" s="252"/>
      <c r="S10" s="252"/>
      <c r="Y10" s="54" t="s">
        <v>0</v>
      </c>
      <c r="Z10" s="1019">
        <f>Design!U45</f>
        <v>500</v>
      </c>
      <c r="AA10" s="1020"/>
      <c r="AB10" s="1020"/>
      <c r="AC10" s="45" t="s">
        <v>63</v>
      </c>
      <c r="AE10" s="45"/>
      <c r="AM10" s="45"/>
      <c r="AP10" s="53" t="s">
        <v>121</v>
      </c>
      <c r="AQ10" s="45"/>
      <c r="AR10" s="45"/>
      <c r="AS10" s="45"/>
      <c r="AT10" s="45"/>
      <c r="AU10" s="45"/>
      <c r="AV10" s="45"/>
      <c r="AW10" s="252"/>
      <c r="AX10" s="45"/>
      <c r="AY10" s="45"/>
      <c r="AZ10" s="252"/>
      <c r="BA10" s="252"/>
      <c r="BB10" s="252"/>
      <c r="BC10" s="252"/>
      <c r="BD10" s="252"/>
      <c r="BE10" s="252"/>
      <c r="BF10" s="252"/>
      <c r="BL10" s="54" t="s">
        <v>0</v>
      </c>
      <c r="BM10" s="1019">
        <f>Z10</f>
        <v>500</v>
      </c>
      <c r="BN10" s="1020"/>
      <c r="BO10" s="1020"/>
      <c r="BP10" s="45" t="s">
        <v>63</v>
      </c>
      <c r="BR10" s="45"/>
      <c r="BZ10" s="45"/>
      <c r="CC10" s="53" t="s">
        <v>121</v>
      </c>
      <c r="CD10" s="45"/>
      <c r="CE10" s="45"/>
      <c r="CF10" s="45"/>
      <c r="CG10" s="45"/>
      <c r="CH10" s="45"/>
      <c r="CI10" s="45"/>
      <c r="CJ10" s="252"/>
      <c r="CK10" s="45"/>
      <c r="CL10" s="45"/>
      <c r="CM10" s="252"/>
      <c r="CN10" s="252"/>
      <c r="CO10" s="252"/>
      <c r="CP10" s="252"/>
      <c r="CQ10" s="252"/>
      <c r="CR10" s="252"/>
      <c r="CS10" s="252"/>
      <c r="CY10" s="54" t="s">
        <v>0</v>
      </c>
      <c r="CZ10" s="1019">
        <f>BM10</f>
        <v>500</v>
      </c>
      <c r="DA10" s="1020"/>
      <c r="DB10" s="1020"/>
      <c r="DC10" s="45" t="s">
        <v>63</v>
      </c>
      <c r="DE10" s="45"/>
      <c r="DM10" s="45"/>
      <c r="DP10" s="53" t="s">
        <v>121</v>
      </c>
      <c r="DQ10" s="45"/>
      <c r="DR10" s="45"/>
      <c r="DS10" s="45"/>
      <c r="DT10" s="45"/>
      <c r="DU10" s="45"/>
      <c r="DV10" s="45"/>
      <c r="DW10" s="252"/>
      <c r="DX10" s="45"/>
      <c r="DY10" s="45"/>
      <c r="DZ10" s="252"/>
      <c r="EA10" s="252"/>
      <c r="EB10" s="252"/>
      <c r="EC10" s="252"/>
      <c r="ED10" s="252"/>
      <c r="EE10" s="252"/>
      <c r="EF10" s="252"/>
      <c r="EL10" s="54" t="s">
        <v>0</v>
      </c>
      <c r="EM10" s="1019">
        <f t="shared" ref="EM10:EM15" si="0">CZ10</f>
        <v>500</v>
      </c>
      <c r="EN10" s="1020"/>
      <c r="EO10" s="1020"/>
      <c r="EP10" s="45" t="s">
        <v>63</v>
      </c>
      <c r="ER10" s="45"/>
      <c r="EZ10" s="45"/>
    </row>
    <row r="11" spans="1:156" ht="15.5" x14ac:dyDescent="0.35">
      <c r="C11" s="54" t="s">
        <v>123</v>
      </c>
      <c r="D11" s="45"/>
      <c r="E11" s="45"/>
      <c r="F11" s="45"/>
      <c r="G11" s="45"/>
      <c r="H11" s="45"/>
      <c r="I11" s="45"/>
      <c r="J11" s="252"/>
      <c r="K11" s="45"/>
      <c r="L11" s="45"/>
      <c r="M11" s="252"/>
      <c r="N11" s="252"/>
      <c r="O11" s="252"/>
      <c r="P11" s="252"/>
      <c r="Q11" s="252"/>
      <c r="R11" s="252"/>
      <c r="S11" s="252"/>
      <c r="Y11" s="54" t="s">
        <v>0</v>
      </c>
      <c r="Z11" s="1019">
        <f>Design!U43</f>
        <v>25</v>
      </c>
      <c r="AA11" s="1020"/>
      <c r="AB11" s="1020"/>
      <c r="AC11" s="45" t="s">
        <v>63</v>
      </c>
      <c r="AE11" s="45"/>
      <c r="AM11" s="45"/>
      <c r="AP11" s="54" t="s">
        <v>123</v>
      </c>
      <c r="AQ11" s="45"/>
      <c r="AR11" s="45"/>
      <c r="AS11" s="45"/>
      <c r="AT11" s="45"/>
      <c r="AU11" s="45"/>
      <c r="AV11" s="45"/>
      <c r="AW11" s="252"/>
      <c r="AX11" s="45"/>
      <c r="AY11" s="45"/>
      <c r="AZ11" s="252"/>
      <c r="BA11" s="252"/>
      <c r="BB11" s="252"/>
      <c r="BC11" s="252"/>
      <c r="BD11" s="252"/>
      <c r="BE11" s="252"/>
      <c r="BF11" s="252"/>
      <c r="BL11" s="54" t="s">
        <v>0</v>
      </c>
      <c r="BM11" s="1019">
        <f>Z11</f>
        <v>25</v>
      </c>
      <c r="BN11" s="1020"/>
      <c r="BO11" s="1020"/>
      <c r="BP11" s="45" t="s">
        <v>63</v>
      </c>
      <c r="BR11" s="45"/>
      <c r="BZ11" s="45"/>
      <c r="CC11" s="54" t="s">
        <v>123</v>
      </c>
      <c r="CD11" s="45"/>
      <c r="CE11" s="45"/>
      <c r="CF11" s="45"/>
      <c r="CG11" s="45"/>
      <c r="CH11" s="45"/>
      <c r="CI11" s="45"/>
      <c r="CJ11" s="252"/>
      <c r="CK11" s="45"/>
      <c r="CL11" s="45"/>
      <c r="CM11" s="252"/>
      <c r="CN11" s="252"/>
      <c r="CO11" s="252"/>
      <c r="CP11" s="252"/>
      <c r="CQ11" s="252"/>
      <c r="CR11" s="252"/>
      <c r="CS11" s="252"/>
      <c r="CY11" s="54" t="s">
        <v>0</v>
      </c>
      <c r="CZ11" s="1019">
        <f>BM11</f>
        <v>25</v>
      </c>
      <c r="DA11" s="1020"/>
      <c r="DB11" s="1020"/>
      <c r="DC11" s="45" t="s">
        <v>63</v>
      </c>
      <c r="DE11" s="45"/>
      <c r="DM11" s="45"/>
      <c r="DP11" s="54" t="s">
        <v>123</v>
      </c>
      <c r="DQ11" s="45"/>
      <c r="DR11" s="45"/>
      <c r="DS11" s="45"/>
      <c r="DT11" s="45"/>
      <c r="DU11" s="45"/>
      <c r="DV11" s="45"/>
      <c r="DW11" s="252"/>
      <c r="DX11" s="45"/>
      <c r="DY11" s="45"/>
      <c r="DZ11" s="252"/>
      <c r="EA11" s="252"/>
      <c r="EB11" s="252"/>
      <c r="EC11" s="252"/>
      <c r="ED11" s="252"/>
      <c r="EE11" s="252"/>
      <c r="EF11" s="252"/>
      <c r="EL11" s="54" t="s">
        <v>0</v>
      </c>
      <c r="EM11" s="1019">
        <f t="shared" si="0"/>
        <v>25</v>
      </c>
      <c r="EN11" s="1020"/>
      <c r="EO11" s="1020"/>
      <c r="EP11" s="45" t="s">
        <v>63</v>
      </c>
      <c r="ER11" s="45"/>
      <c r="EZ11" s="45"/>
    </row>
    <row r="12" spans="1:156" ht="15.5" x14ac:dyDescent="0.4">
      <c r="C12" s="45" t="s">
        <v>242</v>
      </c>
      <c r="Y12" s="54" t="s">
        <v>0</v>
      </c>
      <c r="Z12" s="1021">
        <f>0.48*Z11</f>
        <v>12</v>
      </c>
      <c r="AA12" s="1021"/>
      <c r="AB12" s="1021"/>
      <c r="AC12" s="45" t="s">
        <v>63</v>
      </c>
      <c r="AM12" s="45"/>
      <c r="AP12" s="45" t="s">
        <v>242</v>
      </c>
      <c r="BL12" s="54" t="s">
        <v>0</v>
      </c>
      <c r="BM12" s="1025">
        <f t="shared" ref="BM12:BM15" si="1">Z12</f>
        <v>12</v>
      </c>
      <c r="BN12" s="1025"/>
      <c r="BO12" s="1025"/>
      <c r="BP12" s="45" t="s">
        <v>63</v>
      </c>
      <c r="BZ12" s="45"/>
      <c r="CC12" s="45" t="s">
        <v>242</v>
      </c>
      <c r="CY12" s="54" t="s">
        <v>0</v>
      </c>
      <c r="CZ12" s="1025">
        <f t="shared" ref="CZ12:CZ15" si="2">BM12</f>
        <v>12</v>
      </c>
      <c r="DA12" s="1025"/>
      <c r="DB12" s="1025"/>
      <c r="DC12" s="45" t="s">
        <v>63</v>
      </c>
      <c r="DM12" s="45"/>
      <c r="DP12" s="45" t="s">
        <v>242</v>
      </c>
      <c r="EL12" s="54" t="s">
        <v>0</v>
      </c>
      <c r="EM12" s="1021">
        <f t="shared" si="0"/>
        <v>12</v>
      </c>
      <c r="EN12" s="1021"/>
      <c r="EO12" s="1021"/>
      <c r="EP12" s="45" t="s">
        <v>63</v>
      </c>
      <c r="EZ12" s="45"/>
    </row>
    <row r="13" spans="1:156" ht="15.5" x14ac:dyDescent="0.4">
      <c r="C13" s="45" t="s">
        <v>243</v>
      </c>
      <c r="Y13" s="54" t="s">
        <v>0</v>
      </c>
      <c r="Z13" s="1019">
        <f>Z10*0.8</f>
        <v>400</v>
      </c>
      <c r="AA13" s="1019"/>
      <c r="AB13" s="1019"/>
      <c r="AC13" s="45" t="s">
        <v>63</v>
      </c>
      <c r="AF13" s="45"/>
      <c r="AM13" s="45"/>
      <c r="AP13" s="45" t="s">
        <v>243</v>
      </c>
      <c r="BL13" s="54" t="s">
        <v>0</v>
      </c>
      <c r="BM13" s="1019">
        <f t="shared" si="1"/>
        <v>400</v>
      </c>
      <c r="BN13" s="1020"/>
      <c r="BO13" s="1020"/>
      <c r="BP13" s="45" t="s">
        <v>63</v>
      </c>
      <c r="BS13" s="45"/>
      <c r="BZ13" s="45"/>
      <c r="CC13" s="45" t="s">
        <v>243</v>
      </c>
      <c r="CY13" s="54" t="s">
        <v>0</v>
      </c>
      <c r="CZ13" s="1019">
        <f t="shared" si="2"/>
        <v>400</v>
      </c>
      <c r="DA13" s="1020"/>
      <c r="DB13" s="1020"/>
      <c r="DC13" s="45" t="s">
        <v>63</v>
      </c>
      <c r="DF13" s="45"/>
      <c r="DM13" s="45"/>
      <c r="DP13" s="45" t="s">
        <v>243</v>
      </c>
      <c r="EL13" s="54" t="s">
        <v>0</v>
      </c>
      <c r="EM13" s="1019">
        <f t="shared" si="0"/>
        <v>400</v>
      </c>
      <c r="EN13" s="1019"/>
      <c r="EO13" s="1019"/>
      <c r="EP13" s="45" t="s">
        <v>63</v>
      </c>
      <c r="ES13" s="45"/>
      <c r="EZ13" s="45"/>
    </row>
    <row r="14" spans="1:156" x14ac:dyDescent="0.35">
      <c r="C14" s="253" t="s">
        <v>244</v>
      </c>
      <c r="Y14" s="54" t="s">
        <v>0</v>
      </c>
      <c r="Z14" s="1001">
        <f>Design!U56</f>
        <v>200000</v>
      </c>
      <c r="AA14" s="1001"/>
      <c r="AB14" s="1001"/>
      <c r="AC14" s="45" t="s">
        <v>245</v>
      </c>
      <c r="AF14" s="45"/>
      <c r="AM14" s="45"/>
      <c r="AP14" s="253" t="s">
        <v>244</v>
      </c>
      <c r="BL14" s="54" t="s">
        <v>0</v>
      </c>
      <c r="BM14" s="1019">
        <f t="shared" si="1"/>
        <v>200000</v>
      </c>
      <c r="BN14" s="1020"/>
      <c r="BO14" s="1020"/>
      <c r="BP14" s="45" t="s">
        <v>245</v>
      </c>
      <c r="BS14" s="45"/>
      <c r="BZ14" s="45"/>
      <c r="CC14" s="253" t="s">
        <v>244</v>
      </c>
      <c r="CY14" s="54" t="s">
        <v>0</v>
      </c>
      <c r="CZ14" s="1019">
        <f t="shared" si="2"/>
        <v>200000</v>
      </c>
      <c r="DA14" s="1020"/>
      <c r="DB14" s="1020"/>
      <c r="DC14" s="45" t="s">
        <v>245</v>
      </c>
      <c r="DF14" s="45"/>
      <c r="DM14" s="45"/>
      <c r="DP14" s="253" t="s">
        <v>244</v>
      </c>
      <c r="EL14" s="54" t="s">
        <v>0</v>
      </c>
      <c r="EM14" s="1000">
        <f t="shared" si="0"/>
        <v>200000</v>
      </c>
      <c r="EN14" s="1001"/>
      <c r="EO14" s="1001"/>
      <c r="EP14" s="45" t="s">
        <v>245</v>
      </c>
      <c r="ES14" s="45"/>
      <c r="EZ14" s="45"/>
    </row>
    <row r="15" spans="1:156" x14ac:dyDescent="0.35">
      <c r="C15" s="253" t="s">
        <v>246</v>
      </c>
      <c r="Y15" s="54" t="s">
        <v>0</v>
      </c>
      <c r="Z15" s="1001">
        <f>Design!U55</f>
        <v>30000</v>
      </c>
      <c r="AA15" s="1001"/>
      <c r="AB15" s="1001"/>
      <c r="AC15" s="45" t="s">
        <v>245</v>
      </c>
      <c r="AM15" s="45"/>
      <c r="AP15" s="253" t="s">
        <v>246</v>
      </c>
      <c r="BL15" s="54" t="s">
        <v>0</v>
      </c>
      <c r="BM15" s="1019">
        <f t="shared" si="1"/>
        <v>30000</v>
      </c>
      <c r="BN15" s="1020"/>
      <c r="BO15" s="1020"/>
      <c r="BP15" s="45" t="s">
        <v>245</v>
      </c>
      <c r="BZ15" s="45"/>
      <c r="CC15" s="253" t="s">
        <v>246</v>
      </c>
      <c r="CY15" s="54" t="s">
        <v>0</v>
      </c>
      <c r="CZ15" s="1019">
        <f t="shared" si="2"/>
        <v>30000</v>
      </c>
      <c r="DA15" s="1020"/>
      <c r="DB15" s="1020"/>
      <c r="DC15" s="45" t="s">
        <v>245</v>
      </c>
      <c r="DM15" s="45"/>
      <c r="DP15" s="253" t="s">
        <v>246</v>
      </c>
      <c r="EL15" s="54" t="s">
        <v>0</v>
      </c>
      <c r="EM15" s="1000">
        <f t="shared" si="0"/>
        <v>30000</v>
      </c>
      <c r="EN15" s="1001"/>
      <c r="EO15" s="1001"/>
      <c r="EP15" s="45" t="s">
        <v>245</v>
      </c>
      <c r="EZ15" s="45"/>
    </row>
    <row r="16" spans="1:156" ht="20.25" customHeight="1" x14ac:dyDescent="0.35">
      <c r="C16" s="254" t="s">
        <v>466</v>
      </c>
      <c r="AM16" s="45"/>
      <c r="AP16" s="254" t="s">
        <v>469</v>
      </c>
      <c r="BZ16" s="45"/>
      <c r="CC16" s="254" t="s">
        <v>472</v>
      </c>
      <c r="DM16" s="45"/>
      <c r="DP16" s="254" t="s">
        <v>495</v>
      </c>
      <c r="EZ16" s="45"/>
    </row>
    <row r="17" spans="3:156" ht="29.25" customHeight="1" x14ac:dyDescent="0.35">
      <c r="C17" s="859" t="s">
        <v>276</v>
      </c>
      <c r="D17" s="1002"/>
      <c r="E17" s="1002"/>
      <c r="F17" s="1002"/>
      <c r="G17" s="1002"/>
      <c r="H17" s="1002"/>
      <c r="I17" s="1002"/>
      <c r="J17" s="1003"/>
      <c r="K17" s="859" t="s">
        <v>279</v>
      </c>
      <c r="L17" s="1002"/>
      <c r="M17" s="1002"/>
      <c r="N17" s="1002"/>
      <c r="O17" s="1002"/>
      <c r="P17" s="1002"/>
      <c r="Q17" s="1002"/>
      <c r="R17" s="1003"/>
      <c r="S17" s="394"/>
      <c r="T17" s="1004" t="s">
        <v>411</v>
      </c>
      <c r="U17" s="1004"/>
      <c r="V17" s="1004"/>
      <c r="W17" s="1004"/>
      <c r="X17" s="1004"/>
      <c r="Y17" s="1004"/>
      <c r="Z17" s="1004"/>
      <c r="AA17" s="1004"/>
      <c r="AB17" s="1004"/>
      <c r="AC17" s="1004"/>
      <c r="AD17" s="1004"/>
      <c r="AE17" s="1004"/>
      <c r="AF17" s="1004"/>
      <c r="AG17" s="1004"/>
      <c r="AH17" s="1004"/>
      <c r="AI17" s="1004"/>
      <c r="AJ17" s="1004"/>
      <c r="AK17" s="1004"/>
      <c r="AL17" s="1004"/>
      <c r="AM17" s="45"/>
      <c r="AP17" s="859" t="s">
        <v>276</v>
      </c>
      <c r="AQ17" s="1002"/>
      <c r="AR17" s="1002"/>
      <c r="AS17" s="1002"/>
      <c r="AT17" s="1002"/>
      <c r="AU17" s="1002"/>
      <c r="AV17" s="1002"/>
      <c r="AW17" s="1003"/>
      <c r="AX17" s="859" t="s">
        <v>279</v>
      </c>
      <c r="AY17" s="1002"/>
      <c r="AZ17" s="1002"/>
      <c r="BA17" s="1002"/>
      <c r="BB17" s="1002"/>
      <c r="BC17" s="1002"/>
      <c r="BD17" s="1002"/>
      <c r="BE17" s="1003"/>
      <c r="BF17" s="396"/>
      <c r="BG17" s="1004" t="s">
        <v>411</v>
      </c>
      <c r="BH17" s="1004"/>
      <c r="BI17" s="1004"/>
      <c r="BJ17" s="1004"/>
      <c r="BK17" s="1004"/>
      <c r="BL17" s="1004"/>
      <c r="BM17" s="1004"/>
      <c r="BN17" s="1004"/>
      <c r="BO17" s="1004"/>
      <c r="BP17" s="1004"/>
      <c r="BQ17" s="1004"/>
      <c r="BR17" s="1004"/>
      <c r="BS17" s="1004"/>
      <c r="BT17" s="1004"/>
      <c r="BU17" s="1004"/>
      <c r="BV17" s="1004"/>
      <c r="BW17" s="1004"/>
      <c r="BX17" s="1004"/>
      <c r="BY17" s="1004"/>
      <c r="BZ17" s="45"/>
      <c r="CC17" s="859" t="s">
        <v>276</v>
      </c>
      <c r="CD17" s="1002"/>
      <c r="CE17" s="1002"/>
      <c r="CF17" s="1002"/>
      <c r="CG17" s="1002"/>
      <c r="CH17" s="1002"/>
      <c r="CI17" s="1002"/>
      <c r="CJ17" s="1003"/>
      <c r="CK17" s="859" t="s">
        <v>279</v>
      </c>
      <c r="CL17" s="1002"/>
      <c r="CM17" s="1002"/>
      <c r="CN17" s="1002"/>
      <c r="CO17" s="1002"/>
      <c r="CP17" s="1002"/>
      <c r="CQ17" s="1002"/>
      <c r="CR17" s="1003"/>
      <c r="CS17" s="396"/>
      <c r="CT17" s="1004" t="s">
        <v>411</v>
      </c>
      <c r="CU17" s="1004"/>
      <c r="CV17" s="1004"/>
      <c r="CW17" s="1004"/>
      <c r="CX17" s="1004"/>
      <c r="CY17" s="1004"/>
      <c r="CZ17" s="1004"/>
      <c r="DA17" s="1004"/>
      <c r="DB17" s="1004"/>
      <c r="DC17" s="1004"/>
      <c r="DD17" s="1004"/>
      <c r="DE17" s="1004"/>
      <c r="DF17" s="1004"/>
      <c r="DG17" s="1004"/>
      <c r="DH17" s="1004"/>
      <c r="DI17" s="1004"/>
      <c r="DJ17" s="1004"/>
      <c r="DK17" s="1004"/>
      <c r="DL17" s="1004"/>
      <c r="DM17" s="45"/>
      <c r="DP17" s="859" t="s">
        <v>276</v>
      </c>
      <c r="DQ17" s="1002"/>
      <c r="DR17" s="1002"/>
      <c r="DS17" s="1002"/>
      <c r="DT17" s="1002"/>
      <c r="DU17" s="1002"/>
      <c r="DV17" s="1002"/>
      <c r="DW17" s="1003"/>
      <c r="DX17" s="859" t="s">
        <v>279</v>
      </c>
      <c r="DY17" s="1002"/>
      <c r="DZ17" s="1002"/>
      <c r="EA17" s="1002"/>
      <c r="EB17" s="1002"/>
      <c r="EC17" s="1002"/>
      <c r="ED17" s="1002"/>
      <c r="EE17" s="1003"/>
      <c r="EF17" s="394"/>
      <c r="EG17" s="1004" t="s">
        <v>411</v>
      </c>
      <c r="EH17" s="1004"/>
      <c r="EI17" s="1004"/>
      <c r="EJ17" s="1004"/>
      <c r="EK17" s="1004"/>
      <c r="EL17" s="1004"/>
      <c r="EM17" s="1004"/>
      <c r="EN17" s="1004"/>
      <c r="EO17" s="1004"/>
      <c r="EP17" s="1004"/>
      <c r="EQ17" s="1004"/>
      <c r="ER17" s="1004"/>
      <c r="ES17" s="1004"/>
      <c r="ET17" s="1004"/>
      <c r="EU17" s="1004"/>
      <c r="EV17" s="1004"/>
      <c r="EW17" s="1004"/>
      <c r="EX17" s="1004"/>
      <c r="EY17" s="1004"/>
      <c r="EZ17" s="45"/>
    </row>
    <row r="18" spans="3:156" x14ac:dyDescent="0.35">
      <c r="C18" s="1005" t="s">
        <v>277</v>
      </c>
      <c r="D18" s="1006"/>
      <c r="E18" s="1006"/>
      <c r="F18" s="1006"/>
      <c r="G18" s="1006"/>
      <c r="H18" s="1006"/>
      <c r="I18" s="1006"/>
      <c r="J18" s="1007"/>
      <c r="K18" s="1008">
        <f>Design!AU347</f>
        <v>47.476886478238349</v>
      </c>
      <c r="L18" s="1009"/>
      <c r="M18" s="1009"/>
      <c r="N18" s="1009"/>
      <c r="O18" s="1009"/>
      <c r="P18" s="1009"/>
      <c r="Q18" s="1009"/>
      <c r="R18" s="1010"/>
      <c r="S18" s="395"/>
      <c r="T18" s="1004"/>
      <c r="U18" s="1004"/>
      <c r="V18" s="1004"/>
      <c r="W18" s="1004"/>
      <c r="X18" s="1004"/>
      <c r="Y18" s="1004"/>
      <c r="Z18" s="1004"/>
      <c r="AA18" s="1004"/>
      <c r="AB18" s="1004"/>
      <c r="AC18" s="1004"/>
      <c r="AD18" s="1004"/>
      <c r="AE18" s="1004"/>
      <c r="AF18" s="1004"/>
      <c r="AG18" s="1004"/>
      <c r="AH18" s="1004"/>
      <c r="AI18" s="1004"/>
      <c r="AJ18" s="1004"/>
      <c r="AK18" s="1004"/>
      <c r="AL18" s="1004"/>
      <c r="AM18" s="45"/>
      <c r="AP18" s="1005" t="s">
        <v>277</v>
      </c>
      <c r="AQ18" s="1006"/>
      <c r="AR18" s="1006"/>
      <c r="AS18" s="1006"/>
      <c r="AT18" s="1006"/>
      <c r="AU18" s="1006"/>
      <c r="AV18" s="1006"/>
      <c r="AW18" s="1007"/>
      <c r="AX18" s="1008">
        <f>Design!AU463</f>
        <v>0.37817700254474962</v>
      </c>
      <c r="AY18" s="1009"/>
      <c r="AZ18" s="1009"/>
      <c r="BA18" s="1009"/>
      <c r="BB18" s="1009"/>
      <c r="BC18" s="1009"/>
      <c r="BD18" s="1009"/>
      <c r="BE18" s="1010"/>
      <c r="BF18" s="397"/>
      <c r="BG18" s="1004"/>
      <c r="BH18" s="1004"/>
      <c r="BI18" s="1004"/>
      <c r="BJ18" s="1004"/>
      <c r="BK18" s="1004"/>
      <c r="BL18" s="1004"/>
      <c r="BM18" s="1004"/>
      <c r="BN18" s="1004"/>
      <c r="BO18" s="1004"/>
      <c r="BP18" s="1004"/>
      <c r="BQ18" s="1004"/>
      <c r="BR18" s="1004"/>
      <c r="BS18" s="1004"/>
      <c r="BT18" s="1004"/>
      <c r="BU18" s="1004"/>
      <c r="BV18" s="1004"/>
      <c r="BW18" s="1004"/>
      <c r="BX18" s="1004"/>
      <c r="BY18" s="1004"/>
      <c r="BZ18" s="45"/>
      <c r="CC18" s="1005" t="s">
        <v>277</v>
      </c>
      <c r="CD18" s="1006"/>
      <c r="CE18" s="1006"/>
      <c r="CF18" s="1006"/>
      <c r="CG18" s="1006"/>
      <c r="CH18" s="1006"/>
      <c r="CI18" s="1006"/>
      <c r="CJ18" s="1007"/>
      <c r="CK18" s="1008">
        <f>Design!AU577</f>
        <v>14.051601734293216</v>
      </c>
      <c r="CL18" s="1009"/>
      <c r="CM18" s="1009"/>
      <c r="CN18" s="1009"/>
      <c r="CO18" s="1009"/>
      <c r="CP18" s="1009"/>
      <c r="CQ18" s="1009"/>
      <c r="CR18" s="1010"/>
      <c r="CS18" s="396"/>
      <c r="CT18" s="1004"/>
      <c r="CU18" s="1004"/>
      <c r="CV18" s="1004"/>
      <c r="CW18" s="1004"/>
      <c r="CX18" s="1004"/>
      <c r="CY18" s="1004"/>
      <c r="CZ18" s="1004"/>
      <c r="DA18" s="1004"/>
      <c r="DB18" s="1004"/>
      <c r="DC18" s="1004"/>
      <c r="DD18" s="1004"/>
      <c r="DE18" s="1004"/>
      <c r="DF18" s="1004"/>
      <c r="DG18" s="1004"/>
      <c r="DH18" s="1004"/>
      <c r="DI18" s="1004"/>
      <c r="DJ18" s="1004"/>
      <c r="DK18" s="1004"/>
      <c r="DL18" s="1004"/>
      <c r="DM18" s="45"/>
      <c r="DP18" s="1005" t="s">
        <v>277</v>
      </c>
      <c r="DQ18" s="1006"/>
      <c r="DR18" s="1006"/>
      <c r="DS18" s="1006"/>
      <c r="DT18" s="1006"/>
      <c r="DU18" s="1006"/>
      <c r="DV18" s="1006"/>
      <c r="DW18" s="1007"/>
      <c r="DX18" s="1008">
        <f>Design!AW498</f>
        <v>18.589455377567809</v>
      </c>
      <c r="DY18" s="1009"/>
      <c r="DZ18" s="1009"/>
      <c r="EA18" s="1009"/>
      <c r="EB18" s="1009"/>
      <c r="EC18" s="1009"/>
      <c r="ED18" s="1009"/>
      <c r="EE18" s="1010"/>
      <c r="EF18" s="395"/>
      <c r="EG18" s="1004"/>
      <c r="EH18" s="1004"/>
      <c r="EI18" s="1004"/>
      <c r="EJ18" s="1004"/>
      <c r="EK18" s="1004"/>
      <c r="EL18" s="1004"/>
      <c r="EM18" s="1004"/>
      <c r="EN18" s="1004"/>
      <c r="EO18" s="1004"/>
      <c r="EP18" s="1004"/>
      <c r="EQ18" s="1004"/>
      <c r="ER18" s="1004"/>
      <c r="ES18" s="1004"/>
      <c r="ET18" s="1004"/>
      <c r="EU18" s="1004"/>
      <c r="EV18" s="1004"/>
      <c r="EW18" s="1004"/>
      <c r="EX18" s="1004"/>
      <c r="EY18" s="1004"/>
      <c r="EZ18" s="45"/>
    </row>
    <row r="19" spans="3:156" x14ac:dyDescent="0.35">
      <c r="C19" s="1014" t="s">
        <v>275</v>
      </c>
      <c r="D19" s="1015"/>
      <c r="E19" s="1015"/>
      <c r="F19" s="1015"/>
      <c r="G19" s="1015"/>
      <c r="H19" s="1015"/>
      <c r="I19" s="1015"/>
      <c r="J19" s="1016"/>
      <c r="K19" s="1011"/>
      <c r="L19" s="1012"/>
      <c r="M19" s="1012"/>
      <c r="N19" s="1012"/>
      <c r="O19" s="1012"/>
      <c r="P19" s="1012"/>
      <c r="Q19" s="1012"/>
      <c r="R19" s="1013"/>
      <c r="S19" s="395"/>
      <c r="T19" s="1004"/>
      <c r="U19" s="1004"/>
      <c r="V19" s="1004"/>
      <c r="W19" s="1004"/>
      <c r="X19" s="1004"/>
      <c r="Y19" s="1004"/>
      <c r="Z19" s="1004"/>
      <c r="AA19" s="1004"/>
      <c r="AB19" s="1004"/>
      <c r="AC19" s="1004"/>
      <c r="AD19" s="1004"/>
      <c r="AE19" s="1004"/>
      <c r="AF19" s="1004"/>
      <c r="AG19" s="1004"/>
      <c r="AH19" s="1004"/>
      <c r="AI19" s="1004"/>
      <c r="AJ19" s="1004"/>
      <c r="AK19" s="1004"/>
      <c r="AL19" s="1004"/>
      <c r="AM19" s="45"/>
      <c r="AP19" s="1014" t="s">
        <v>275</v>
      </c>
      <c r="AQ19" s="1015"/>
      <c r="AR19" s="1015"/>
      <c r="AS19" s="1015"/>
      <c r="AT19" s="1015"/>
      <c r="AU19" s="1015"/>
      <c r="AV19" s="1015"/>
      <c r="AW19" s="1016"/>
      <c r="AX19" s="1011"/>
      <c r="AY19" s="1012"/>
      <c r="AZ19" s="1012"/>
      <c r="BA19" s="1012"/>
      <c r="BB19" s="1012"/>
      <c r="BC19" s="1012"/>
      <c r="BD19" s="1012"/>
      <c r="BE19" s="1013"/>
      <c r="BF19" s="397"/>
      <c r="BG19" s="1004"/>
      <c r="BH19" s="1004"/>
      <c r="BI19" s="1004"/>
      <c r="BJ19" s="1004"/>
      <c r="BK19" s="1004"/>
      <c r="BL19" s="1004"/>
      <c r="BM19" s="1004"/>
      <c r="BN19" s="1004"/>
      <c r="BO19" s="1004"/>
      <c r="BP19" s="1004"/>
      <c r="BQ19" s="1004"/>
      <c r="BR19" s="1004"/>
      <c r="BS19" s="1004"/>
      <c r="BT19" s="1004"/>
      <c r="BU19" s="1004"/>
      <c r="BV19" s="1004"/>
      <c r="BW19" s="1004"/>
      <c r="BX19" s="1004"/>
      <c r="BY19" s="1004"/>
      <c r="BZ19" s="45"/>
      <c r="CC19" s="1014" t="s">
        <v>275</v>
      </c>
      <c r="CD19" s="1015"/>
      <c r="CE19" s="1015"/>
      <c r="CF19" s="1015"/>
      <c r="CG19" s="1015"/>
      <c r="CH19" s="1015"/>
      <c r="CI19" s="1015"/>
      <c r="CJ19" s="1016"/>
      <c r="CK19" s="1011"/>
      <c r="CL19" s="1012"/>
      <c r="CM19" s="1012"/>
      <c r="CN19" s="1012"/>
      <c r="CO19" s="1012"/>
      <c r="CP19" s="1012"/>
      <c r="CQ19" s="1012"/>
      <c r="CR19" s="1013"/>
      <c r="CS19" s="396"/>
      <c r="CT19" s="1004"/>
      <c r="CU19" s="1004"/>
      <c r="CV19" s="1004"/>
      <c r="CW19" s="1004"/>
      <c r="CX19" s="1004"/>
      <c r="CY19" s="1004"/>
      <c r="CZ19" s="1004"/>
      <c r="DA19" s="1004"/>
      <c r="DB19" s="1004"/>
      <c r="DC19" s="1004"/>
      <c r="DD19" s="1004"/>
      <c r="DE19" s="1004"/>
      <c r="DF19" s="1004"/>
      <c r="DG19" s="1004"/>
      <c r="DH19" s="1004"/>
      <c r="DI19" s="1004"/>
      <c r="DJ19" s="1004"/>
      <c r="DK19" s="1004"/>
      <c r="DL19" s="1004"/>
      <c r="DM19" s="45"/>
      <c r="DP19" s="1014" t="s">
        <v>275</v>
      </c>
      <c r="DQ19" s="1015"/>
      <c r="DR19" s="1015"/>
      <c r="DS19" s="1015"/>
      <c r="DT19" s="1015"/>
      <c r="DU19" s="1015"/>
      <c r="DV19" s="1015"/>
      <c r="DW19" s="1016"/>
      <c r="DX19" s="1011"/>
      <c r="DY19" s="1012"/>
      <c r="DZ19" s="1012"/>
      <c r="EA19" s="1012"/>
      <c r="EB19" s="1012"/>
      <c r="EC19" s="1012"/>
      <c r="ED19" s="1012"/>
      <c r="EE19" s="1013"/>
      <c r="EF19" s="395"/>
      <c r="EG19" s="1004"/>
      <c r="EH19" s="1004"/>
      <c r="EI19" s="1004"/>
      <c r="EJ19" s="1004"/>
      <c r="EK19" s="1004"/>
      <c r="EL19" s="1004"/>
      <c r="EM19" s="1004"/>
      <c r="EN19" s="1004"/>
      <c r="EO19" s="1004"/>
      <c r="EP19" s="1004"/>
      <c r="EQ19" s="1004"/>
      <c r="ER19" s="1004"/>
      <c r="ES19" s="1004"/>
      <c r="ET19" s="1004"/>
      <c r="EU19" s="1004"/>
      <c r="EV19" s="1004"/>
      <c r="EW19" s="1004"/>
      <c r="EX19" s="1004"/>
      <c r="EY19" s="1004"/>
      <c r="EZ19" s="45"/>
    </row>
    <row r="20" spans="3:156" x14ac:dyDescent="0.35">
      <c r="C20" s="1005" t="s">
        <v>278</v>
      </c>
      <c r="D20" s="1006"/>
      <c r="E20" s="1006"/>
      <c r="F20" s="1006"/>
      <c r="G20" s="1006"/>
      <c r="H20" s="1006"/>
      <c r="I20" s="1006"/>
      <c r="J20" s="1007"/>
      <c r="K20" s="1008">
        <f>Design!AU348</f>
        <v>38.227203876694198</v>
      </c>
      <c r="L20" s="1009"/>
      <c r="M20" s="1009"/>
      <c r="N20" s="1009"/>
      <c r="O20" s="1009"/>
      <c r="P20" s="1009"/>
      <c r="Q20" s="1009"/>
      <c r="R20" s="1010"/>
      <c r="S20" s="395"/>
      <c r="T20" s="395"/>
      <c r="U20" s="395"/>
      <c r="V20" s="395"/>
      <c r="W20" s="395"/>
      <c r="X20" s="395"/>
      <c r="Y20" s="395"/>
      <c r="Z20" s="395"/>
      <c r="AA20" s="395"/>
      <c r="AB20" s="395"/>
      <c r="AC20" s="395"/>
      <c r="AD20" s="395"/>
      <c r="AM20" s="45"/>
      <c r="AP20" s="1005" t="s">
        <v>278</v>
      </c>
      <c r="AQ20" s="1006"/>
      <c r="AR20" s="1006"/>
      <c r="AS20" s="1006"/>
      <c r="AT20" s="1006"/>
      <c r="AU20" s="1006"/>
      <c r="AV20" s="1006"/>
      <c r="AW20" s="1007"/>
      <c r="AX20" s="1008">
        <f>Design!BH463</f>
        <v>4.3752255844605896</v>
      </c>
      <c r="AY20" s="1009"/>
      <c r="AZ20" s="1009"/>
      <c r="BA20" s="1009"/>
      <c r="BB20" s="1009"/>
      <c r="BC20" s="1009"/>
      <c r="BD20" s="1009"/>
      <c r="BE20" s="1010"/>
      <c r="BF20" s="397"/>
      <c r="BG20" s="395"/>
      <c r="BH20" s="395"/>
      <c r="BI20" s="395"/>
      <c r="BJ20" s="395"/>
      <c r="BK20" s="395"/>
      <c r="BL20" s="395"/>
      <c r="BM20" s="395"/>
      <c r="BN20" s="395"/>
      <c r="BO20" s="395"/>
      <c r="BP20" s="395"/>
      <c r="BQ20" s="395"/>
      <c r="BZ20" s="45"/>
      <c r="CC20" s="1005" t="s">
        <v>278</v>
      </c>
      <c r="CD20" s="1006"/>
      <c r="CE20" s="1006"/>
      <c r="CF20" s="1006"/>
      <c r="CG20" s="1006"/>
      <c r="CH20" s="1006"/>
      <c r="CI20" s="1006"/>
      <c r="CJ20" s="1007"/>
      <c r="CK20" s="1008">
        <f>Design!BD577</f>
        <v>13.181260222836327</v>
      </c>
      <c r="CL20" s="1009"/>
      <c r="CM20" s="1009"/>
      <c r="CN20" s="1009"/>
      <c r="CO20" s="1009"/>
      <c r="CP20" s="1009"/>
      <c r="CQ20" s="1009"/>
      <c r="CR20" s="1010"/>
      <c r="CS20" s="396"/>
      <c r="CT20" s="394"/>
      <c r="CU20" s="394"/>
      <c r="CV20" s="394"/>
      <c r="CW20" s="394"/>
      <c r="CX20" s="394"/>
      <c r="CY20" s="394"/>
      <c r="CZ20" s="394"/>
      <c r="DA20" s="394"/>
      <c r="DB20" s="394"/>
      <c r="DC20" s="394"/>
      <c r="DD20" s="394"/>
      <c r="DM20" s="45"/>
      <c r="DP20" s="1005" t="s">
        <v>278</v>
      </c>
      <c r="DQ20" s="1006"/>
      <c r="DR20" s="1006"/>
      <c r="DS20" s="1006"/>
      <c r="DT20" s="1006"/>
      <c r="DU20" s="1006"/>
      <c r="DV20" s="1006"/>
      <c r="DW20" s="1007"/>
      <c r="DX20" s="1008">
        <f>Design!BJ498</f>
        <v>18.589455377567809</v>
      </c>
      <c r="DY20" s="1009"/>
      <c r="DZ20" s="1009"/>
      <c r="EA20" s="1009"/>
      <c r="EB20" s="1009"/>
      <c r="EC20" s="1009"/>
      <c r="ED20" s="1009"/>
      <c r="EE20" s="1010"/>
      <c r="EF20" s="395"/>
      <c r="EG20" s="395"/>
      <c r="EH20" s="395"/>
      <c r="EI20" s="395"/>
      <c r="EJ20" s="395"/>
      <c r="EK20" s="395"/>
      <c r="EL20" s="395"/>
      <c r="EM20" s="395"/>
      <c r="EN20" s="395"/>
      <c r="EO20" s="395"/>
      <c r="EP20" s="395"/>
      <c r="EQ20" s="395"/>
      <c r="EZ20" s="45"/>
    </row>
    <row r="21" spans="3:156" x14ac:dyDescent="0.35">
      <c r="C21" s="1014" t="s">
        <v>387</v>
      </c>
      <c r="D21" s="1015"/>
      <c r="E21" s="1015"/>
      <c r="F21" s="1015"/>
      <c r="G21" s="1015"/>
      <c r="H21" s="1015"/>
      <c r="I21" s="1015"/>
      <c r="J21" s="1016"/>
      <c r="K21" s="1011"/>
      <c r="L21" s="1012"/>
      <c r="M21" s="1012"/>
      <c r="N21" s="1012"/>
      <c r="O21" s="1012"/>
      <c r="P21" s="1012"/>
      <c r="Q21" s="1012"/>
      <c r="R21" s="1013"/>
      <c r="S21" s="395"/>
      <c r="T21" s="395"/>
      <c r="U21" s="395"/>
      <c r="V21" s="395"/>
      <c r="W21" s="395"/>
      <c r="X21" s="395"/>
      <c r="Y21" s="395"/>
      <c r="Z21" s="395"/>
      <c r="AA21" s="395"/>
      <c r="AB21" s="395"/>
      <c r="AC21" s="395"/>
      <c r="AD21" s="395"/>
      <c r="AM21" s="45"/>
      <c r="AP21" s="1014" t="s">
        <v>387</v>
      </c>
      <c r="AQ21" s="1015"/>
      <c r="AR21" s="1015"/>
      <c r="AS21" s="1015"/>
      <c r="AT21" s="1015"/>
      <c r="AU21" s="1015"/>
      <c r="AV21" s="1015"/>
      <c r="AW21" s="1016"/>
      <c r="AX21" s="1011"/>
      <c r="AY21" s="1012"/>
      <c r="AZ21" s="1012"/>
      <c r="BA21" s="1012"/>
      <c r="BB21" s="1012"/>
      <c r="BC21" s="1012"/>
      <c r="BD21" s="1012"/>
      <c r="BE21" s="1013"/>
      <c r="BF21" s="397"/>
      <c r="BG21" s="395"/>
      <c r="BH21" s="395"/>
      <c r="BI21" s="395"/>
      <c r="BJ21" s="395"/>
      <c r="BK21" s="395"/>
      <c r="BL21" s="395"/>
      <c r="BM21" s="395"/>
      <c r="BN21" s="395"/>
      <c r="BO21" s="395"/>
      <c r="BP21" s="395"/>
      <c r="BQ21" s="395"/>
      <c r="BZ21" s="45"/>
      <c r="CC21" s="1014" t="s">
        <v>387</v>
      </c>
      <c r="CD21" s="1015"/>
      <c r="CE21" s="1015"/>
      <c r="CF21" s="1015"/>
      <c r="CG21" s="1015"/>
      <c r="CH21" s="1015"/>
      <c r="CI21" s="1015"/>
      <c r="CJ21" s="1016"/>
      <c r="CK21" s="1011"/>
      <c r="CL21" s="1012"/>
      <c r="CM21" s="1012"/>
      <c r="CN21" s="1012"/>
      <c r="CO21" s="1012"/>
      <c r="CP21" s="1012"/>
      <c r="CQ21" s="1012"/>
      <c r="CR21" s="1013"/>
      <c r="CS21" s="396"/>
      <c r="CT21" s="394"/>
      <c r="CU21" s="394"/>
      <c r="CV21" s="394"/>
      <c r="CW21" s="394"/>
      <c r="CX21" s="394"/>
      <c r="CY21" s="394"/>
      <c r="CZ21" s="394"/>
      <c r="DA21" s="394"/>
      <c r="DB21" s="394"/>
      <c r="DC21" s="394"/>
      <c r="DD21" s="394"/>
      <c r="DM21" s="45"/>
      <c r="DP21" s="1014" t="s">
        <v>387</v>
      </c>
      <c r="DQ21" s="1015"/>
      <c r="DR21" s="1015"/>
      <c r="DS21" s="1015"/>
      <c r="DT21" s="1015"/>
      <c r="DU21" s="1015"/>
      <c r="DV21" s="1015"/>
      <c r="DW21" s="1016"/>
      <c r="DX21" s="1011"/>
      <c r="DY21" s="1012"/>
      <c r="DZ21" s="1012"/>
      <c r="EA21" s="1012"/>
      <c r="EB21" s="1012"/>
      <c r="EC21" s="1012"/>
      <c r="ED21" s="1012"/>
      <c r="EE21" s="1013"/>
      <c r="EF21" s="395"/>
      <c r="EG21" s="395"/>
      <c r="EH21" s="395"/>
      <c r="EI21" s="395"/>
      <c r="EJ21" s="395"/>
      <c r="EK21" s="395"/>
      <c r="EL21" s="395"/>
      <c r="EM21" s="395"/>
      <c r="EN21" s="395"/>
      <c r="EO21" s="395"/>
      <c r="EP21" s="395"/>
      <c r="EQ21" s="395"/>
      <c r="EZ21" s="45"/>
    </row>
    <row r="22" spans="3:156" x14ac:dyDescent="0.35">
      <c r="AM22" s="45"/>
      <c r="BZ22" s="45"/>
      <c r="DM22" s="45"/>
      <c r="EZ22" s="45"/>
    </row>
    <row r="23" spans="3:156" ht="15" customHeight="1" x14ac:dyDescent="0.35">
      <c r="C23" s="254" t="s">
        <v>467</v>
      </c>
      <c r="U23" s="254" t="s">
        <v>468</v>
      </c>
      <c r="AM23" s="45"/>
      <c r="AP23" s="254" t="s">
        <v>470</v>
      </c>
      <c r="BH23" s="254" t="s">
        <v>471</v>
      </c>
      <c r="BZ23" s="45"/>
      <c r="CC23" s="254" t="s">
        <v>473</v>
      </c>
      <c r="CU23" s="254" t="s">
        <v>474</v>
      </c>
      <c r="DM23" s="45"/>
      <c r="DP23" s="254" t="s">
        <v>496</v>
      </c>
      <c r="EH23" s="254" t="s">
        <v>497</v>
      </c>
      <c r="EZ23" s="45"/>
    </row>
    <row r="24" spans="3:156" ht="11.25" customHeight="1" x14ac:dyDescent="0.35">
      <c r="C24" s="668" t="s">
        <v>179</v>
      </c>
      <c r="D24" s="668"/>
      <c r="E24" s="668"/>
      <c r="F24" s="668"/>
      <c r="G24" s="668"/>
      <c r="H24" s="668"/>
      <c r="I24" s="668"/>
      <c r="J24" s="668"/>
      <c r="K24" s="668"/>
      <c r="L24" s="668"/>
      <c r="M24" s="721" t="s">
        <v>210</v>
      </c>
      <c r="N24" s="722"/>
      <c r="O24" s="722"/>
      <c r="P24" s="722"/>
      <c r="Q24" s="722"/>
      <c r="R24" s="722"/>
      <c r="S24" s="723"/>
      <c r="T24" s="255"/>
      <c r="U24" s="668" t="s">
        <v>179</v>
      </c>
      <c r="V24" s="668"/>
      <c r="W24" s="668"/>
      <c r="X24" s="668"/>
      <c r="Y24" s="668"/>
      <c r="Z24" s="668"/>
      <c r="AA24" s="668"/>
      <c r="AB24" s="668"/>
      <c r="AC24" s="668"/>
      <c r="AD24" s="668"/>
      <c r="AE24" s="721" t="s">
        <v>210</v>
      </c>
      <c r="AF24" s="722"/>
      <c r="AG24" s="722"/>
      <c r="AH24" s="722"/>
      <c r="AI24" s="722"/>
      <c r="AJ24" s="722"/>
      <c r="AK24" s="722"/>
      <c r="AL24" s="723"/>
      <c r="AM24" s="45"/>
      <c r="AP24" s="668" t="s">
        <v>179</v>
      </c>
      <c r="AQ24" s="668"/>
      <c r="AR24" s="668"/>
      <c r="AS24" s="668"/>
      <c r="AT24" s="668"/>
      <c r="AU24" s="668"/>
      <c r="AV24" s="668"/>
      <c r="AW24" s="668"/>
      <c r="AX24" s="668"/>
      <c r="AY24" s="668"/>
      <c r="AZ24" s="721" t="s">
        <v>210</v>
      </c>
      <c r="BA24" s="722"/>
      <c r="BB24" s="722"/>
      <c r="BC24" s="722"/>
      <c r="BD24" s="722"/>
      <c r="BE24" s="722"/>
      <c r="BF24" s="723"/>
      <c r="BG24" s="255"/>
      <c r="BH24" s="668" t="s">
        <v>179</v>
      </c>
      <c r="BI24" s="668"/>
      <c r="BJ24" s="668"/>
      <c r="BK24" s="668"/>
      <c r="BL24" s="668"/>
      <c r="BM24" s="668"/>
      <c r="BN24" s="668"/>
      <c r="BO24" s="668"/>
      <c r="BP24" s="668"/>
      <c r="BQ24" s="668"/>
      <c r="BR24" s="721" t="s">
        <v>210</v>
      </c>
      <c r="BS24" s="722"/>
      <c r="BT24" s="722"/>
      <c r="BU24" s="722"/>
      <c r="BV24" s="722"/>
      <c r="BW24" s="722"/>
      <c r="BX24" s="722"/>
      <c r="BY24" s="723"/>
      <c r="BZ24" s="45"/>
      <c r="CC24" s="668" t="s">
        <v>179</v>
      </c>
      <c r="CD24" s="668"/>
      <c r="CE24" s="668"/>
      <c r="CF24" s="668"/>
      <c r="CG24" s="668"/>
      <c r="CH24" s="668"/>
      <c r="CI24" s="668"/>
      <c r="CJ24" s="668"/>
      <c r="CK24" s="668"/>
      <c r="CL24" s="668"/>
      <c r="CM24" s="721" t="s">
        <v>210</v>
      </c>
      <c r="CN24" s="722"/>
      <c r="CO24" s="722"/>
      <c r="CP24" s="722"/>
      <c r="CQ24" s="722"/>
      <c r="CR24" s="722"/>
      <c r="CS24" s="723"/>
      <c r="CT24" s="255"/>
      <c r="CU24" s="668" t="s">
        <v>179</v>
      </c>
      <c r="CV24" s="668"/>
      <c r="CW24" s="668"/>
      <c r="CX24" s="668"/>
      <c r="CY24" s="668"/>
      <c r="CZ24" s="668"/>
      <c r="DA24" s="668"/>
      <c r="DB24" s="668"/>
      <c r="DC24" s="668"/>
      <c r="DD24" s="668"/>
      <c r="DE24" s="721" t="s">
        <v>210</v>
      </c>
      <c r="DF24" s="722"/>
      <c r="DG24" s="722"/>
      <c r="DH24" s="722"/>
      <c r="DI24" s="722"/>
      <c r="DJ24" s="722"/>
      <c r="DK24" s="722"/>
      <c r="DL24" s="723"/>
      <c r="DM24" s="45"/>
      <c r="DP24" s="668" t="s">
        <v>179</v>
      </c>
      <c r="DQ24" s="668"/>
      <c r="DR24" s="668"/>
      <c r="DS24" s="668"/>
      <c r="DT24" s="668"/>
      <c r="DU24" s="668"/>
      <c r="DV24" s="668"/>
      <c r="DW24" s="668"/>
      <c r="DX24" s="668"/>
      <c r="DY24" s="668"/>
      <c r="DZ24" s="721" t="s">
        <v>210</v>
      </c>
      <c r="EA24" s="722"/>
      <c r="EB24" s="722"/>
      <c r="EC24" s="722"/>
      <c r="ED24" s="722"/>
      <c r="EE24" s="722"/>
      <c r="EF24" s="723"/>
      <c r="EG24" s="255"/>
      <c r="EH24" s="668" t="s">
        <v>179</v>
      </c>
      <c r="EI24" s="668"/>
      <c r="EJ24" s="668"/>
      <c r="EK24" s="668"/>
      <c r="EL24" s="668"/>
      <c r="EM24" s="668"/>
      <c r="EN24" s="668"/>
      <c r="EO24" s="668"/>
      <c r="EP24" s="668"/>
      <c r="EQ24" s="668"/>
      <c r="ER24" s="721" t="s">
        <v>210</v>
      </c>
      <c r="ES24" s="722"/>
      <c r="ET24" s="722"/>
      <c r="EU24" s="722"/>
      <c r="EV24" s="722"/>
      <c r="EW24" s="722"/>
      <c r="EX24" s="722"/>
      <c r="EY24" s="723"/>
      <c r="EZ24" s="45"/>
    </row>
    <row r="25" spans="3:156" ht="8.25" customHeight="1" x14ac:dyDescent="0.35">
      <c r="C25" s="668"/>
      <c r="D25" s="668"/>
      <c r="E25" s="668"/>
      <c r="F25" s="668"/>
      <c r="G25" s="668"/>
      <c r="H25" s="668"/>
      <c r="I25" s="668"/>
      <c r="J25" s="668"/>
      <c r="K25" s="668"/>
      <c r="L25" s="668"/>
      <c r="M25" s="724"/>
      <c r="N25" s="725"/>
      <c r="O25" s="725"/>
      <c r="P25" s="725"/>
      <c r="Q25" s="725"/>
      <c r="R25" s="725"/>
      <c r="S25" s="726"/>
      <c r="T25" s="256"/>
      <c r="U25" s="668"/>
      <c r="V25" s="668"/>
      <c r="W25" s="668"/>
      <c r="X25" s="668"/>
      <c r="Y25" s="668"/>
      <c r="Z25" s="668"/>
      <c r="AA25" s="668"/>
      <c r="AB25" s="668"/>
      <c r="AC25" s="668"/>
      <c r="AD25" s="668"/>
      <c r="AE25" s="724"/>
      <c r="AF25" s="725"/>
      <c r="AG25" s="725"/>
      <c r="AH25" s="725"/>
      <c r="AI25" s="725"/>
      <c r="AJ25" s="725"/>
      <c r="AK25" s="725"/>
      <c r="AL25" s="726"/>
      <c r="AM25" s="45"/>
      <c r="AP25" s="668"/>
      <c r="AQ25" s="668"/>
      <c r="AR25" s="668"/>
      <c r="AS25" s="668"/>
      <c r="AT25" s="668"/>
      <c r="AU25" s="668"/>
      <c r="AV25" s="668"/>
      <c r="AW25" s="668"/>
      <c r="AX25" s="668"/>
      <c r="AY25" s="668"/>
      <c r="AZ25" s="724"/>
      <c r="BA25" s="725"/>
      <c r="BB25" s="725"/>
      <c r="BC25" s="725"/>
      <c r="BD25" s="725"/>
      <c r="BE25" s="725"/>
      <c r="BF25" s="726"/>
      <c r="BG25" s="256"/>
      <c r="BH25" s="668"/>
      <c r="BI25" s="668"/>
      <c r="BJ25" s="668"/>
      <c r="BK25" s="668"/>
      <c r="BL25" s="668"/>
      <c r="BM25" s="668"/>
      <c r="BN25" s="668"/>
      <c r="BO25" s="668"/>
      <c r="BP25" s="668"/>
      <c r="BQ25" s="668"/>
      <c r="BR25" s="724"/>
      <c r="BS25" s="725"/>
      <c r="BT25" s="725"/>
      <c r="BU25" s="725"/>
      <c r="BV25" s="725"/>
      <c r="BW25" s="725"/>
      <c r="BX25" s="725"/>
      <c r="BY25" s="726"/>
      <c r="BZ25" s="45"/>
      <c r="CC25" s="668"/>
      <c r="CD25" s="668"/>
      <c r="CE25" s="668"/>
      <c r="CF25" s="668"/>
      <c r="CG25" s="668"/>
      <c r="CH25" s="668"/>
      <c r="CI25" s="668"/>
      <c r="CJ25" s="668"/>
      <c r="CK25" s="668"/>
      <c r="CL25" s="668"/>
      <c r="CM25" s="724"/>
      <c r="CN25" s="725"/>
      <c r="CO25" s="725"/>
      <c r="CP25" s="725"/>
      <c r="CQ25" s="725"/>
      <c r="CR25" s="725"/>
      <c r="CS25" s="726"/>
      <c r="CT25" s="256"/>
      <c r="CU25" s="668"/>
      <c r="CV25" s="668"/>
      <c r="CW25" s="668"/>
      <c r="CX25" s="668"/>
      <c r="CY25" s="668"/>
      <c r="CZ25" s="668"/>
      <c r="DA25" s="668"/>
      <c r="DB25" s="668"/>
      <c r="DC25" s="668"/>
      <c r="DD25" s="668"/>
      <c r="DE25" s="724"/>
      <c r="DF25" s="725"/>
      <c r="DG25" s="725"/>
      <c r="DH25" s="725"/>
      <c r="DI25" s="725"/>
      <c r="DJ25" s="725"/>
      <c r="DK25" s="725"/>
      <c r="DL25" s="726"/>
      <c r="DM25" s="45"/>
      <c r="DP25" s="668"/>
      <c r="DQ25" s="668"/>
      <c r="DR25" s="668"/>
      <c r="DS25" s="668"/>
      <c r="DT25" s="668"/>
      <c r="DU25" s="668"/>
      <c r="DV25" s="668"/>
      <c r="DW25" s="668"/>
      <c r="DX25" s="668"/>
      <c r="DY25" s="668"/>
      <c r="DZ25" s="724"/>
      <c r="EA25" s="725"/>
      <c r="EB25" s="725"/>
      <c r="EC25" s="725"/>
      <c r="ED25" s="725"/>
      <c r="EE25" s="725"/>
      <c r="EF25" s="726"/>
      <c r="EG25" s="256"/>
      <c r="EH25" s="668"/>
      <c r="EI25" s="668"/>
      <c r="EJ25" s="668"/>
      <c r="EK25" s="668"/>
      <c r="EL25" s="668"/>
      <c r="EM25" s="668"/>
      <c r="EN25" s="668"/>
      <c r="EO25" s="668"/>
      <c r="EP25" s="668"/>
      <c r="EQ25" s="668"/>
      <c r="ER25" s="724"/>
      <c r="ES25" s="725"/>
      <c r="ET25" s="725"/>
      <c r="EU25" s="725"/>
      <c r="EV25" s="725"/>
      <c r="EW25" s="725"/>
      <c r="EX25" s="725"/>
      <c r="EY25" s="726"/>
      <c r="EZ25" s="45"/>
    </row>
    <row r="26" spans="3:156" ht="15" customHeight="1" x14ac:dyDescent="0.35">
      <c r="C26" s="970" t="s">
        <v>247</v>
      </c>
      <c r="D26" s="970"/>
      <c r="E26" s="970"/>
      <c r="F26" s="970"/>
      <c r="G26" s="970"/>
      <c r="H26" s="970"/>
      <c r="I26" s="970"/>
      <c r="J26" s="970"/>
      <c r="K26" s="970"/>
      <c r="L26" s="970"/>
      <c r="M26" s="998">
        <f>K18</f>
        <v>47.476886478238349</v>
      </c>
      <c r="N26" s="999"/>
      <c r="O26" s="999"/>
      <c r="P26" s="999"/>
      <c r="Q26" s="898" t="s">
        <v>11</v>
      </c>
      <c r="R26" s="898"/>
      <c r="S26" s="898"/>
      <c r="T26" s="257"/>
      <c r="U26" s="970" t="s">
        <v>247</v>
      </c>
      <c r="V26" s="970"/>
      <c r="W26" s="970"/>
      <c r="X26" s="970"/>
      <c r="Y26" s="970"/>
      <c r="Z26" s="970"/>
      <c r="AA26" s="970"/>
      <c r="AB26" s="970"/>
      <c r="AC26" s="970"/>
      <c r="AD26" s="970"/>
      <c r="AE26" s="998">
        <f>K20</f>
        <v>38.227203876694198</v>
      </c>
      <c r="AF26" s="999"/>
      <c r="AG26" s="999"/>
      <c r="AH26" s="999"/>
      <c r="AI26" s="772" t="s">
        <v>11</v>
      </c>
      <c r="AJ26" s="720"/>
      <c r="AK26" s="720"/>
      <c r="AL26" s="972"/>
      <c r="AM26" s="45"/>
      <c r="AP26" s="970" t="s">
        <v>247</v>
      </c>
      <c r="AQ26" s="970"/>
      <c r="AR26" s="970"/>
      <c r="AS26" s="970"/>
      <c r="AT26" s="970"/>
      <c r="AU26" s="970"/>
      <c r="AV26" s="970"/>
      <c r="AW26" s="970"/>
      <c r="AX26" s="970"/>
      <c r="AY26" s="970"/>
      <c r="AZ26" s="998">
        <f>AX18</f>
        <v>0.37817700254474962</v>
      </c>
      <c r="BA26" s="999"/>
      <c r="BB26" s="999"/>
      <c r="BC26" s="999"/>
      <c r="BD26" s="898" t="s">
        <v>11</v>
      </c>
      <c r="BE26" s="898"/>
      <c r="BF26" s="898"/>
      <c r="BG26" s="257"/>
      <c r="BH26" s="970" t="s">
        <v>247</v>
      </c>
      <c r="BI26" s="970"/>
      <c r="BJ26" s="970"/>
      <c r="BK26" s="970"/>
      <c r="BL26" s="970"/>
      <c r="BM26" s="970"/>
      <c r="BN26" s="970"/>
      <c r="BO26" s="970"/>
      <c r="BP26" s="970"/>
      <c r="BQ26" s="970"/>
      <c r="BR26" s="998">
        <f>AX20</f>
        <v>4.3752255844605896</v>
      </c>
      <c r="BS26" s="999"/>
      <c r="BT26" s="999"/>
      <c r="BU26" s="999"/>
      <c r="BV26" s="772" t="s">
        <v>11</v>
      </c>
      <c r="BW26" s="720"/>
      <c r="BX26" s="720"/>
      <c r="BY26" s="972"/>
      <c r="BZ26" s="45"/>
      <c r="CC26" s="970" t="s">
        <v>247</v>
      </c>
      <c r="CD26" s="970"/>
      <c r="CE26" s="970"/>
      <c r="CF26" s="970"/>
      <c r="CG26" s="970"/>
      <c r="CH26" s="970"/>
      <c r="CI26" s="970"/>
      <c r="CJ26" s="970"/>
      <c r="CK26" s="970"/>
      <c r="CL26" s="970"/>
      <c r="CM26" s="998">
        <f>CK18</f>
        <v>14.051601734293216</v>
      </c>
      <c r="CN26" s="999"/>
      <c r="CO26" s="999"/>
      <c r="CP26" s="999"/>
      <c r="CQ26" s="898" t="s">
        <v>11</v>
      </c>
      <c r="CR26" s="898"/>
      <c r="CS26" s="898"/>
      <c r="CT26" s="257"/>
      <c r="CU26" s="970" t="s">
        <v>247</v>
      </c>
      <c r="CV26" s="970"/>
      <c r="CW26" s="970"/>
      <c r="CX26" s="970"/>
      <c r="CY26" s="970"/>
      <c r="CZ26" s="970"/>
      <c r="DA26" s="970"/>
      <c r="DB26" s="970"/>
      <c r="DC26" s="970"/>
      <c r="DD26" s="970"/>
      <c r="DE26" s="998">
        <f>CK20</f>
        <v>13.181260222836327</v>
      </c>
      <c r="DF26" s="999"/>
      <c r="DG26" s="999"/>
      <c r="DH26" s="999"/>
      <c r="DI26" s="772" t="s">
        <v>11</v>
      </c>
      <c r="DJ26" s="720"/>
      <c r="DK26" s="720"/>
      <c r="DL26" s="972"/>
      <c r="DM26" s="45"/>
      <c r="DP26" s="970" t="s">
        <v>247</v>
      </c>
      <c r="DQ26" s="970"/>
      <c r="DR26" s="970"/>
      <c r="DS26" s="970"/>
      <c r="DT26" s="970"/>
      <c r="DU26" s="970"/>
      <c r="DV26" s="970"/>
      <c r="DW26" s="970"/>
      <c r="DX26" s="970"/>
      <c r="DY26" s="970"/>
      <c r="DZ26" s="998">
        <f>DX18</f>
        <v>18.589455377567809</v>
      </c>
      <c r="EA26" s="999"/>
      <c r="EB26" s="999"/>
      <c r="EC26" s="999"/>
      <c r="ED26" s="898" t="s">
        <v>11</v>
      </c>
      <c r="EE26" s="898"/>
      <c r="EF26" s="898"/>
      <c r="EG26" s="257"/>
      <c r="EH26" s="970" t="s">
        <v>247</v>
      </c>
      <c r="EI26" s="970"/>
      <c r="EJ26" s="970"/>
      <c r="EK26" s="970"/>
      <c r="EL26" s="970"/>
      <c r="EM26" s="970"/>
      <c r="EN26" s="970"/>
      <c r="EO26" s="970"/>
      <c r="EP26" s="970"/>
      <c r="EQ26" s="970"/>
      <c r="ER26" s="998">
        <f>DX20</f>
        <v>18.589455377567809</v>
      </c>
      <c r="ES26" s="999"/>
      <c r="ET26" s="999"/>
      <c r="EU26" s="999"/>
      <c r="EV26" s="772" t="s">
        <v>11</v>
      </c>
      <c r="EW26" s="720"/>
      <c r="EX26" s="720"/>
      <c r="EY26" s="972"/>
      <c r="EZ26" s="45"/>
    </row>
    <row r="27" spans="3:156" x14ac:dyDescent="0.35">
      <c r="C27" s="970" t="s">
        <v>248</v>
      </c>
      <c r="D27" s="970"/>
      <c r="E27" s="970"/>
      <c r="F27" s="970"/>
      <c r="G27" s="970"/>
      <c r="H27" s="970"/>
      <c r="I27" s="970"/>
      <c r="J27" s="970"/>
      <c r="K27" s="970"/>
      <c r="L27" s="970"/>
      <c r="M27" s="995">
        <v>1000</v>
      </c>
      <c r="N27" s="995"/>
      <c r="O27" s="995"/>
      <c r="P27" s="995"/>
      <c r="Q27" s="898" t="s">
        <v>2</v>
      </c>
      <c r="R27" s="898"/>
      <c r="S27" s="898"/>
      <c r="T27" s="258"/>
      <c r="U27" s="970" t="s">
        <v>248</v>
      </c>
      <c r="V27" s="970"/>
      <c r="W27" s="970"/>
      <c r="X27" s="970"/>
      <c r="Y27" s="970"/>
      <c r="Z27" s="970"/>
      <c r="AA27" s="970"/>
      <c r="AB27" s="970"/>
      <c r="AC27" s="970"/>
      <c r="AD27" s="970"/>
      <c r="AE27" s="995">
        <f>M27</f>
        <v>1000</v>
      </c>
      <c r="AF27" s="995"/>
      <c r="AG27" s="995"/>
      <c r="AH27" s="995"/>
      <c r="AI27" s="772" t="s">
        <v>2</v>
      </c>
      <c r="AJ27" s="720"/>
      <c r="AK27" s="720"/>
      <c r="AL27" s="972"/>
      <c r="AM27" s="45"/>
      <c r="AP27" s="970" t="s">
        <v>248</v>
      </c>
      <c r="AQ27" s="970"/>
      <c r="AR27" s="970"/>
      <c r="AS27" s="970"/>
      <c r="AT27" s="970"/>
      <c r="AU27" s="970"/>
      <c r="AV27" s="970"/>
      <c r="AW27" s="970"/>
      <c r="AX27" s="970"/>
      <c r="AY27" s="970"/>
      <c r="AZ27" s="995">
        <v>1000</v>
      </c>
      <c r="BA27" s="995"/>
      <c r="BB27" s="995"/>
      <c r="BC27" s="995"/>
      <c r="BD27" s="898" t="s">
        <v>2</v>
      </c>
      <c r="BE27" s="898"/>
      <c r="BF27" s="898"/>
      <c r="BG27" s="258"/>
      <c r="BH27" s="970" t="s">
        <v>248</v>
      </c>
      <c r="BI27" s="970"/>
      <c r="BJ27" s="970"/>
      <c r="BK27" s="970"/>
      <c r="BL27" s="970"/>
      <c r="BM27" s="970"/>
      <c r="BN27" s="970"/>
      <c r="BO27" s="970"/>
      <c r="BP27" s="970"/>
      <c r="BQ27" s="970"/>
      <c r="BR27" s="995">
        <f>AZ27</f>
        <v>1000</v>
      </c>
      <c r="BS27" s="995"/>
      <c r="BT27" s="995"/>
      <c r="BU27" s="995"/>
      <c r="BV27" s="772" t="s">
        <v>2</v>
      </c>
      <c r="BW27" s="720"/>
      <c r="BX27" s="720"/>
      <c r="BY27" s="972"/>
      <c r="BZ27" s="45"/>
      <c r="CC27" s="970" t="s">
        <v>248</v>
      </c>
      <c r="CD27" s="970"/>
      <c r="CE27" s="970"/>
      <c r="CF27" s="970"/>
      <c r="CG27" s="970"/>
      <c r="CH27" s="970"/>
      <c r="CI27" s="970"/>
      <c r="CJ27" s="970"/>
      <c r="CK27" s="970"/>
      <c r="CL27" s="970"/>
      <c r="CM27" s="995">
        <v>1000</v>
      </c>
      <c r="CN27" s="995"/>
      <c r="CO27" s="995"/>
      <c r="CP27" s="995"/>
      <c r="CQ27" s="898" t="s">
        <v>2</v>
      </c>
      <c r="CR27" s="898"/>
      <c r="CS27" s="898"/>
      <c r="CT27" s="258"/>
      <c r="CU27" s="970" t="s">
        <v>248</v>
      </c>
      <c r="CV27" s="970"/>
      <c r="CW27" s="970"/>
      <c r="CX27" s="970"/>
      <c r="CY27" s="970"/>
      <c r="CZ27" s="970"/>
      <c r="DA27" s="970"/>
      <c r="DB27" s="970"/>
      <c r="DC27" s="970"/>
      <c r="DD27" s="970"/>
      <c r="DE27" s="995">
        <f>CM27</f>
        <v>1000</v>
      </c>
      <c r="DF27" s="995"/>
      <c r="DG27" s="995"/>
      <c r="DH27" s="995"/>
      <c r="DI27" s="772" t="s">
        <v>2</v>
      </c>
      <c r="DJ27" s="720"/>
      <c r="DK27" s="720"/>
      <c r="DL27" s="972"/>
      <c r="DM27" s="45"/>
      <c r="DP27" s="970" t="s">
        <v>248</v>
      </c>
      <c r="DQ27" s="970"/>
      <c r="DR27" s="970"/>
      <c r="DS27" s="970"/>
      <c r="DT27" s="970"/>
      <c r="DU27" s="970"/>
      <c r="DV27" s="970"/>
      <c r="DW27" s="970"/>
      <c r="DX27" s="970"/>
      <c r="DY27" s="970"/>
      <c r="DZ27" s="995">
        <v>1000</v>
      </c>
      <c r="EA27" s="995"/>
      <c r="EB27" s="995"/>
      <c r="EC27" s="995"/>
      <c r="ED27" s="898" t="s">
        <v>2</v>
      </c>
      <c r="EE27" s="898"/>
      <c r="EF27" s="898"/>
      <c r="EG27" s="258"/>
      <c r="EH27" s="970" t="s">
        <v>248</v>
      </c>
      <c r="EI27" s="970"/>
      <c r="EJ27" s="970"/>
      <c r="EK27" s="970"/>
      <c r="EL27" s="970"/>
      <c r="EM27" s="970"/>
      <c r="EN27" s="970"/>
      <c r="EO27" s="970"/>
      <c r="EP27" s="970"/>
      <c r="EQ27" s="970"/>
      <c r="ER27" s="995">
        <f>DZ27</f>
        <v>1000</v>
      </c>
      <c r="ES27" s="995"/>
      <c r="ET27" s="995"/>
      <c r="EU27" s="995"/>
      <c r="EV27" s="772" t="s">
        <v>2</v>
      </c>
      <c r="EW27" s="720"/>
      <c r="EX27" s="720"/>
      <c r="EY27" s="972"/>
      <c r="EZ27" s="45"/>
    </row>
    <row r="28" spans="3:156" x14ac:dyDescent="0.35">
      <c r="C28" s="970" t="s">
        <v>249</v>
      </c>
      <c r="D28" s="970"/>
      <c r="E28" s="970"/>
      <c r="F28" s="970"/>
      <c r="G28" s="970"/>
      <c r="H28" s="970"/>
      <c r="I28" s="970"/>
      <c r="J28" s="970"/>
      <c r="K28" s="970"/>
      <c r="L28" s="970"/>
      <c r="M28" s="995">
        <f>Design!T113*1000</f>
        <v>500</v>
      </c>
      <c r="N28" s="995"/>
      <c r="O28" s="995"/>
      <c r="P28" s="995"/>
      <c r="Q28" s="898" t="s">
        <v>2</v>
      </c>
      <c r="R28" s="898"/>
      <c r="S28" s="898"/>
      <c r="T28" s="258"/>
      <c r="U28" s="970" t="s">
        <v>249</v>
      </c>
      <c r="V28" s="970"/>
      <c r="W28" s="970"/>
      <c r="X28" s="970"/>
      <c r="Y28" s="970"/>
      <c r="Z28" s="970"/>
      <c r="AA28" s="970"/>
      <c r="AB28" s="970"/>
      <c r="AC28" s="970"/>
      <c r="AD28" s="970"/>
      <c r="AE28" s="995">
        <f>M28</f>
        <v>500</v>
      </c>
      <c r="AF28" s="995"/>
      <c r="AG28" s="995"/>
      <c r="AH28" s="995"/>
      <c r="AI28" s="772" t="s">
        <v>2</v>
      </c>
      <c r="AJ28" s="720"/>
      <c r="AK28" s="720"/>
      <c r="AL28" s="972"/>
      <c r="AM28" s="45"/>
      <c r="AP28" s="970" t="s">
        <v>249</v>
      </c>
      <c r="AQ28" s="970"/>
      <c r="AR28" s="970"/>
      <c r="AS28" s="970"/>
      <c r="AT28" s="970"/>
      <c r="AU28" s="970"/>
      <c r="AV28" s="970"/>
      <c r="AW28" s="970"/>
      <c r="AX28" s="970"/>
      <c r="AY28" s="970"/>
      <c r="AZ28" s="995">
        <f>Design!AB537</f>
        <v>550</v>
      </c>
      <c r="BA28" s="995"/>
      <c r="BB28" s="995"/>
      <c r="BC28" s="995"/>
      <c r="BD28" s="898" t="s">
        <v>2</v>
      </c>
      <c r="BE28" s="898"/>
      <c r="BF28" s="898"/>
      <c r="BG28" s="258"/>
      <c r="BH28" s="970" t="s">
        <v>249</v>
      </c>
      <c r="BI28" s="970"/>
      <c r="BJ28" s="970"/>
      <c r="BK28" s="970"/>
      <c r="BL28" s="970"/>
      <c r="BM28" s="970"/>
      <c r="BN28" s="970"/>
      <c r="BO28" s="970"/>
      <c r="BP28" s="970"/>
      <c r="BQ28" s="970"/>
      <c r="BR28" s="995">
        <f>AZ28</f>
        <v>550</v>
      </c>
      <c r="BS28" s="995"/>
      <c r="BT28" s="995"/>
      <c r="BU28" s="995"/>
      <c r="BV28" s="772" t="s">
        <v>2</v>
      </c>
      <c r="BW28" s="720"/>
      <c r="BX28" s="720"/>
      <c r="BY28" s="972"/>
      <c r="BZ28" s="45"/>
      <c r="CC28" s="970" t="s">
        <v>249</v>
      </c>
      <c r="CD28" s="970"/>
      <c r="CE28" s="970"/>
      <c r="CF28" s="970"/>
      <c r="CG28" s="970"/>
      <c r="CH28" s="970"/>
      <c r="CI28" s="970"/>
      <c r="CJ28" s="970"/>
      <c r="CK28" s="970"/>
      <c r="CL28" s="970"/>
      <c r="CM28" s="995">
        <f>AZ28</f>
        <v>550</v>
      </c>
      <c r="CN28" s="995"/>
      <c r="CO28" s="995"/>
      <c r="CP28" s="995"/>
      <c r="CQ28" s="898" t="s">
        <v>2</v>
      </c>
      <c r="CR28" s="898"/>
      <c r="CS28" s="898"/>
      <c r="CT28" s="258"/>
      <c r="CU28" s="970" t="s">
        <v>249</v>
      </c>
      <c r="CV28" s="970"/>
      <c r="CW28" s="970"/>
      <c r="CX28" s="970"/>
      <c r="CY28" s="970"/>
      <c r="CZ28" s="970"/>
      <c r="DA28" s="970"/>
      <c r="DB28" s="970"/>
      <c r="DC28" s="970"/>
      <c r="DD28" s="970"/>
      <c r="DE28" s="995">
        <f>CM28</f>
        <v>550</v>
      </c>
      <c r="DF28" s="995"/>
      <c r="DG28" s="995"/>
      <c r="DH28" s="995"/>
      <c r="DI28" s="772" t="s">
        <v>2</v>
      </c>
      <c r="DJ28" s="720"/>
      <c r="DK28" s="720"/>
      <c r="DL28" s="972"/>
      <c r="DM28" s="45"/>
      <c r="DP28" s="970" t="s">
        <v>249</v>
      </c>
      <c r="DQ28" s="970"/>
      <c r="DR28" s="970"/>
      <c r="DS28" s="970"/>
      <c r="DT28" s="970"/>
      <c r="DU28" s="970"/>
      <c r="DV28" s="970"/>
      <c r="DW28" s="970"/>
      <c r="DX28" s="970"/>
      <c r="DY28" s="970"/>
      <c r="DZ28" s="995">
        <f>DE28</f>
        <v>550</v>
      </c>
      <c r="EA28" s="995"/>
      <c r="EB28" s="995"/>
      <c r="EC28" s="995"/>
      <c r="ED28" s="898" t="s">
        <v>2</v>
      </c>
      <c r="EE28" s="898"/>
      <c r="EF28" s="898"/>
      <c r="EG28" s="258"/>
      <c r="EH28" s="970" t="s">
        <v>249</v>
      </c>
      <c r="EI28" s="970"/>
      <c r="EJ28" s="970"/>
      <c r="EK28" s="970"/>
      <c r="EL28" s="970"/>
      <c r="EM28" s="970"/>
      <c r="EN28" s="970"/>
      <c r="EO28" s="970"/>
      <c r="EP28" s="970"/>
      <c r="EQ28" s="970"/>
      <c r="ER28" s="995">
        <f>DZ28</f>
        <v>550</v>
      </c>
      <c r="ES28" s="995"/>
      <c r="ET28" s="995"/>
      <c r="EU28" s="995"/>
      <c r="EV28" s="772" t="s">
        <v>2</v>
      </c>
      <c r="EW28" s="720"/>
      <c r="EX28" s="720"/>
      <c r="EY28" s="972"/>
      <c r="EZ28" s="45"/>
    </row>
    <row r="29" spans="3:156" ht="16.5" customHeight="1" x14ac:dyDescent="0.35">
      <c r="C29" s="970" t="s">
        <v>250</v>
      </c>
      <c r="D29" s="970"/>
      <c r="E29" s="970"/>
      <c r="F29" s="970"/>
      <c r="G29" s="970"/>
      <c r="H29" s="970"/>
      <c r="I29" s="970"/>
      <c r="J29" s="970"/>
      <c r="K29" s="970"/>
      <c r="L29" s="970"/>
      <c r="M29" s="994">
        <f>Design!AB369</f>
        <v>419</v>
      </c>
      <c r="N29" s="995"/>
      <c r="O29" s="995"/>
      <c r="P29" s="995"/>
      <c r="Q29" s="898" t="s">
        <v>2</v>
      </c>
      <c r="R29" s="898"/>
      <c r="S29" s="898"/>
      <c r="T29" s="258"/>
      <c r="U29" s="970" t="s">
        <v>250</v>
      </c>
      <c r="V29" s="970"/>
      <c r="W29" s="970"/>
      <c r="X29" s="970"/>
      <c r="Y29" s="970"/>
      <c r="Z29" s="970"/>
      <c r="AA29" s="970"/>
      <c r="AB29" s="970"/>
      <c r="AC29" s="970"/>
      <c r="AD29" s="970"/>
      <c r="AE29" s="995">
        <f>M29</f>
        <v>419</v>
      </c>
      <c r="AF29" s="995"/>
      <c r="AG29" s="995"/>
      <c r="AH29" s="995"/>
      <c r="AI29" s="772" t="s">
        <v>2</v>
      </c>
      <c r="AJ29" s="720"/>
      <c r="AK29" s="720"/>
      <c r="AL29" s="972"/>
      <c r="AM29" s="45"/>
      <c r="AP29" s="970" t="s">
        <v>250</v>
      </c>
      <c r="AQ29" s="970"/>
      <c r="AR29" s="970"/>
      <c r="AS29" s="970"/>
      <c r="AT29" s="970"/>
      <c r="AU29" s="970"/>
      <c r="AV29" s="970"/>
      <c r="AW29" s="970"/>
      <c r="AX29" s="970"/>
      <c r="AY29" s="970"/>
      <c r="AZ29" s="994">
        <f>Design!AB478</f>
        <v>470</v>
      </c>
      <c r="BA29" s="995"/>
      <c r="BB29" s="995"/>
      <c r="BC29" s="995"/>
      <c r="BD29" s="898" t="s">
        <v>2</v>
      </c>
      <c r="BE29" s="898"/>
      <c r="BF29" s="898"/>
      <c r="BG29" s="258"/>
      <c r="BH29" s="970" t="s">
        <v>250</v>
      </c>
      <c r="BI29" s="970"/>
      <c r="BJ29" s="970"/>
      <c r="BK29" s="970"/>
      <c r="BL29" s="970"/>
      <c r="BM29" s="970"/>
      <c r="BN29" s="970"/>
      <c r="BO29" s="970"/>
      <c r="BP29" s="970"/>
      <c r="BQ29" s="970"/>
      <c r="BR29" s="995">
        <f>AZ29</f>
        <v>470</v>
      </c>
      <c r="BS29" s="995"/>
      <c r="BT29" s="995"/>
      <c r="BU29" s="995"/>
      <c r="BV29" s="772" t="s">
        <v>2</v>
      </c>
      <c r="BW29" s="720"/>
      <c r="BX29" s="720"/>
      <c r="BY29" s="972"/>
      <c r="BZ29" s="45"/>
      <c r="CC29" s="970" t="s">
        <v>250</v>
      </c>
      <c r="CD29" s="970"/>
      <c r="CE29" s="970"/>
      <c r="CF29" s="970"/>
      <c r="CG29" s="970"/>
      <c r="CH29" s="970"/>
      <c r="CI29" s="970"/>
      <c r="CJ29" s="970"/>
      <c r="CK29" s="970"/>
      <c r="CL29" s="970"/>
      <c r="CM29" s="994">
        <f>Design!AB596</f>
        <v>470</v>
      </c>
      <c r="CN29" s="995"/>
      <c r="CO29" s="995"/>
      <c r="CP29" s="995"/>
      <c r="CQ29" s="898" t="s">
        <v>2</v>
      </c>
      <c r="CR29" s="898"/>
      <c r="CS29" s="898"/>
      <c r="CT29" s="258"/>
      <c r="CU29" s="970" t="s">
        <v>250</v>
      </c>
      <c r="CV29" s="970"/>
      <c r="CW29" s="970"/>
      <c r="CX29" s="970"/>
      <c r="CY29" s="970"/>
      <c r="CZ29" s="970"/>
      <c r="DA29" s="970"/>
      <c r="DB29" s="970"/>
      <c r="DC29" s="970"/>
      <c r="DD29" s="970"/>
      <c r="DE29" s="995">
        <f>CM29</f>
        <v>470</v>
      </c>
      <c r="DF29" s="995"/>
      <c r="DG29" s="995"/>
      <c r="DH29" s="995"/>
      <c r="DI29" s="772" t="s">
        <v>2</v>
      </c>
      <c r="DJ29" s="720"/>
      <c r="DK29" s="720"/>
      <c r="DL29" s="972"/>
      <c r="DM29" s="45"/>
      <c r="DP29" s="970" t="s">
        <v>250</v>
      </c>
      <c r="DQ29" s="970"/>
      <c r="DR29" s="970"/>
      <c r="DS29" s="970"/>
      <c r="DT29" s="970"/>
      <c r="DU29" s="970"/>
      <c r="DV29" s="970"/>
      <c r="DW29" s="970"/>
      <c r="DX29" s="970"/>
      <c r="DY29" s="970"/>
      <c r="DZ29" s="994">
        <f>Design!AB519</f>
        <v>469</v>
      </c>
      <c r="EA29" s="995"/>
      <c r="EB29" s="995"/>
      <c r="EC29" s="995"/>
      <c r="ED29" s="898" t="s">
        <v>2</v>
      </c>
      <c r="EE29" s="898"/>
      <c r="EF29" s="898"/>
      <c r="EG29" s="258"/>
      <c r="EH29" s="970" t="s">
        <v>250</v>
      </c>
      <c r="EI29" s="970"/>
      <c r="EJ29" s="970"/>
      <c r="EK29" s="970"/>
      <c r="EL29" s="970"/>
      <c r="EM29" s="970"/>
      <c r="EN29" s="970"/>
      <c r="EO29" s="970"/>
      <c r="EP29" s="970"/>
      <c r="EQ29" s="970"/>
      <c r="ER29" s="995">
        <f>DZ29</f>
        <v>469</v>
      </c>
      <c r="ES29" s="995"/>
      <c r="ET29" s="995"/>
      <c r="EU29" s="995"/>
      <c r="EV29" s="772" t="s">
        <v>2</v>
      </c>
      <c r="EW29" s="720"/>
      <c r="EX29" s="720"/>
      <c r="EY29" s="972"/>
      <c r="EZ29" s="45"/>
    </row>
    <row r="30" spans="3:156" ht="15" customHeight="1" x14ac:dyDescent="0.35">
      <c r="C30" s="996" t="s">
        <v>251</v>
      </c>
      <c r="D30" s="996"/>
      <c r="E30" s="996"/>
      <c r="F30" s="996"/>
      <c r="G30" s="996"/>
      <c r="H30" s="996"/>
      <c r="I30" s="996"/>
      <c r="J30" s="996"/>
      <c r="K30" s="996"/>
      <c r="L30" s="996"/>
      <c r="M30" s="997">
        <f>Z14/Z15</f>
        <v>6.666666666666667</v>
      </c>
      <c r="N30" s="997"/>
      <c r="O30" s="997"/>
      <c r="P30" s="997"/>
      <c r="Q30" s="898"/>
      <c r="R30" s="898"/>
      <c r="S30" s="898"/>
      <c r="T30" s="259"/>
      <c r="U30" s="978" t="s">
        <v>252</v>
      </c>
      <c r="V30" s="979"/>
      <c r="W30" s="979"/>
      <c r="X30" s="979"/>
      <c r="Y30" s="979"/>
      <c r="Z30" s="979"/>
      <c r="AA30" s="979"/>
      <c r="AB30" s="979"/>
      <c r="AC30" s="979"/>
      <c r="AD30" s="980"/>
      <c r="AE30" s="981">
        <f>AE27*AE28</f>
        <v>500000</v>
      </c>
      <c r="AF30" s="982"/>
      <c r="AG30" s="982"/>
      <c r="AH30" s="983"/>
      <c r="AI30" s="772" t="s">
        <v>13</v>
      </c>
      <c r="AJ30" s="720"/>
      <c r="AK30" s="720"/>
      <c r="AL30" s="972"/>
      <c r="AM30" s="45"/>
      <c r="AP30" s="996" t="s">
        <v>251</v>
      </c>
      <c r="AQ30" s="996"/>
      <c r="AR30" s="996"/>
      <c r="AS30" s="996"/>
      <c r="AT30" s="996"/>
      <c r="AU30" s="996"/>
      <c r="AV30" s="996"/>
      <c r="AW30" s="996"/>
      <c r="AX30" s="996"/>
      <c r="AY30" s="996"/>
      <c r="AZ30" s="997">
        <f>BM14/BM15</f>
        <v>6.666666666666667</v>
      </c>
      <c r="BA30" s="997"/>
      <c r="BB30" s="997"/>
      <c r="BC30" s="997"/>
      <c r="BD30" s="898"/>
      <c r="BE30" s="898"/>
      <c r="BF30" s="898"/>
      <c r="BG30" s="259"/>
      <c r="BH30" s="978" t="s">
        <v>252</v>
      </c>
      <c r="BI30" s="979"/>
      <c r="BJ30" s="979"/>
      <c r="BK30" s="979"/>
      <c r="BL30" s="979"/>
      <c r="BM30" s="979"/>
      <c r="BN30" s="979"/>
      <c r="BO30" s="979"/>
      <c r="BP30" s="979"/>
      <c r="BQ30" s="980"/>
      <c r="BR30" s="981">
        <f>BR27*BR28</f>
        <v>550000</v>
      </c>
      <c r="BS30" s="982"/>
      <c r="BT30" s="982"/>
      <c r="BU30" s="983"/>
      <c r="BV30" s="772" t="s">
        <v>13</v>
      </c>
      <c r="BW30" s="720"/>
      <c r="BX30" s="720"/>
      <c r="BY30" s="972"/>
      <c r="BZ30" s="45"/>
      <c r="CC30" s="996" t="s">
        <v>251</v>
      </c>
      <c r="CD30" s="996"/>
      <c r="CE30" s="996"/>
      <c r="CF30" s="996"/>
      <c r="CG30" s="996"/>
      <c r="CH30" s="996"/>
      <c r="CI30" s="996"/>
      <c r="CJ30" s="996"/>
      <c r="CK30" s="996"/>
      <c r="CL30" s="996"/>
      <c r="CM30" s="997">
        <f>CZ14/CZ15</f>
        <v>6.666666666666667</v>
      </c>
      <c r="CN30" s="997"/>
      <c r="CO30" s="997"/>
      <c r="CP30" s="997"/>
      <c r="CQ30" s="898"/>
      <c r="CR30" s="898"/>
      <c r="CS30" s="898"/>
      <c r="CT30" s="259"/>
      <c r="CU30" s="978" t="s">
        <v>252</v>
      </c>
      <c r="CV30" s="979"/>
      <c r="CW30" s="979"/>
      <c r="CX30" s="979"/>
      <c r="CY30" s="979"/>
      <c r="CZ30" s="979"/>
      <c r="DA30" s="979"/>
      <c r="DB30" s="979"/>
      <c r="DC30" s="979"/>
      <c r="DD30" s="980"/>
      <c r="DE30" s="981">
        <f>DE27*DE28</f>
        <v>550000</v>
      </c>
      <c r="DF30" s="982"/>
      <c r="DG30" s="982"/>
      <c r="DH30" s="983"/>
      <c r="DI30" s="772" t="s">
        <v>13</v>
      </c>
      <c r="DJ30" s="720"/>
      <c r="DK30" s="720"/>
      <c r="DL30" s="972"/>
      <c r="DM30" s="45"/>
      <c r="DP30" s="996" t="s">
        <v>251</v>
      </c>
      <c r="DQ30" s="996"/>
      <c r="DR30" s="996"/>
      <c r="DS30" s="996"/>
      <c r="DT30" s="996"/>
      <c r="DU30" s="996"/>
      <c r="DV30" s="996"/>
      <c r="DW30" s="996"/>
      <c r="DX30" s="996"/>
      <c r="DY30" s="996"/>
      <c r="DZ30" s="997">
        <f>EM14/EM15</f>
        <v>6.666666666666667</v>
      </c>
      <c r="EA30" s="997"/>
      <c r="EB30" s="997"/>
      <c r="EC30" s="997"/>
      <c r="ED30" s="898"/>
      <c r="EE30" s="898"/>
      <c r="EF30" s="898"/>
      <c r="EG30" s="259"/>
      <c r="EH30" s="978" t="s">
        <v>252</v>
      </c>
      <c r="EI30" s="979"/>
      <c r="EJ30" s="979"/>
      <c r="EK30" s="979"/>
      <c r="EL30" s="979"/>
      <c r="EM30" s="979"/>
      <c r="EN30" s="979"/>
      <c r="EO30" s="979"/>
      <c r="EP30" s="979"/>
      <c r="EQ30" s="980"/>
      <c r="ER30" s="981">
        <f>ER27*ER28</f>
        <v>550000</v>
      </c>
      <c r="ES30" s="982"/>
      <c r="ET30" s="982"/>
      <c r="EU30" s="983"/>
      <c r="EV30" s="772" t="s">
        <v>13</v>
      </c>
      <c r="EW30" s="720"/>
      <c r="EX30" s="720"/>
      <c r="EY30" s="972"/>
      <c r="EZ30" s="45"/>
    </row>
    <row r="31" spans="3:156" x14ac:dyDescent="0.35">
      <c r="C31" s="974" t="s">
        <v>253</v>
      </c>
      <c r="D31" s="974"/>
      <c r="E31" s="974"/>
      <c r="F31" s="974"/>
      <c r="G31" s="974"/>
      <c r="H31" s="974"/>
      <c r="I31" s="974"/>
      <c r="J31" s="974"/>
      <c r="K31" s="974"/>
      <c r="L31" s="974"/>
      <c r="M31" s="977">
        <f>Design!AB375+Design!AB394</f>
        <v>1130.9733552923256</v>
      </c>
      <c r="N31" s="977"/>
      <c r="O31" s="977"/>
      <c r="P31" s="977"/>
      <c r="Q31" s="898" t="s">
        <v>13</v>
      </c>
      <c r="R31" s="898"/>
      <c r="S31" s="898"/>
      <c r="T31" s="260"/>
      <c r="U31" s="978" t="s">
        <v>254</v>
      </c>
      <c r="V31" s="979"/>
      <c r="W31" s="979"/>
      <c r="X31" s="979"/>
      <c r="Y31" s="979"/>
      <c r="Z31" s="979"/>
      <c r="AA31" s="979"/>
      <c r="AB31" s="979"/>
      <c r="AC31" s="979"/>
      <c r="AD31" s="980"/>
      <c r="AE31" s="981">
        <f>2*(AE27+AE28)</f>
        <v>3000</v>
      </c>
      <c r="AF31" s="982"/>
      <c r="AG31" s="982"/>
      <c r="AH31" s="983"/>
      <c r="AI31" s="772" t="s">
        <v>2</v>
      </c>
      <c r="AJ31" s="720"/>
      <c r="AK31" s="720"/>
      <c r="AL31" s="972"/>
      <c r="AM31" s="45"/>
      <c r="AP31" s="974" t="s">
        <v>253</v>
      </c>
      <c r="AQ31" s="974"/>
      <c r="AR31" s="974"/>
      <c r="AS31" s="974"/>
      <c r="AT31" s="974"/>
      <c r="AU31" s="974"/>
      <c r="AV31" s="974"/>
      <c r="AW31" s="974"/>
      <c r="AX31" s="974"/>
      <c r="AY31" s="974"/>
      <c r="AZ31" s="977">
        <f>Design!AB484</f>
        <v>785.39816339744834</v>
      </c>
      <c r="BA31" s="977"/>
      <c r="BB31" s="977"/>
      <c r="BC31" s="977"/>
      <c r="BD31" s="898" t="s">
        <v>13</v>
      </c>
      <c r="BE31" s="898"/>
      <c r="BF31" s="898"/>
      <c r="BG31" s="260"/>
      <c r="BH31" s="978" t="s">
        <v>254</v>
      </c>
      <c r="BI31" s="979"/>
      <c r="BJ31" s="979"/>
      <c r="BK31" s="979"/>
      <c r="BL31" s="979"/>
      <c r="BM31" s="979"/>
      <c r="BN31" s="979"/>
      <c r="BO31" s="979"/>
      <c r="BP31" s="979"/>
      <c r="BQ31" s="980"/>
      <c r="BR31" s="981">
        <f>2*(BR27+BR28)</f>
        <v>3100</v>
      </c>
      <c r="BS31" s="982"/>
      <c r="BT31" s="982"/>
      <c r="BU31" s="983"/>
      <c r="BV31" s="772" t="s">
        <v>2</v>
      </c>
      <c r="BW31" s="720"/>
      <c r="BX31" s="720"/>
      <c r="BY31" s="972"/>
      <c r="BZ31" s="45"/>
      <c r="CC31" s="974" t="s">
        <v>253</v>
      </c>
      <c r="CD31" s="974"/>
      <c r="CE31" s="974"/>
      <c r="CF31" s="974"/>
      <c r="CG31" s="974"/>
      <c r="CH31" s="974"/>
      <c r="CI31" s="974"/>
      <c r="CJ31" s="974"/>
      <c r="CK31" s="974"/>
      <c r="CL31" s="974"/>
      <c r="CM31" s="977">
        <f>Design!AB602</f>
        <v>785.39816339744834</v>
      </c>
      <c r="CN31" s="977"/>
      <c r="CO31" s="977"/>
      <c r="CP31" s="977"/>
      <c r="CQ31" s="898" t="s">
        <v>13</v>
      </c>
      <c r="CR31" s="898"/>
      <c r="CS31" s="898"/>
      <c r="CT31" s="260"/>
      <c r="CU31" s="978" t="s">
        <v>254</v>
      </c>
      <c r="CV31" s="979"/>
      <c r="CW31" s="979"/>
      <c r="CX31" s="979"/>
      <c r="CY31" s="979"/>
      <c r="CZ31" s="979"/>
      <c r="DA31" s="979"/>
      <c r="DB31" s="979"/>
      <c r="DC31" s="979"/>
      <c r="DD31" s="980"/>
      <c r="DE31" s="981">
        <f>2*(DE27+DE28)</f>
        <v>3100</v>
      </c>
      <c r="DF31" s="982"/>
      <c r="DG31" s="982"/>
      <c r="DH31" s="983"/>
      <c r="DI31" s="772" t="s">
        <v>2</v>
      </c>
      <c r="DJ31" s="720"/>
      <c r="DK31" s="720"/>
      <c r="DL31" s="972"/>
      <c r="DM31" s="45"/>
      <c r="DP31" s="974" t="s">
        <v>253</v>
      </c>
      <c r="DQ31" s="974"/>
      <c r="DR31" s="974"/>
      <c r="DS31" s="974"/>
      <c r="DT31" s="974"/>
      <c r="DU31" s="974"/>
      <c r="DV31" s="974"/>
      <c r="DW31" s="974"/>
      <c r="DX31" s="974"/>
      <c r="DY31" s="974"/>
      <c r="DZ31" s="977">
        <f>Design!AB525</f>
        <v>1130.9733552923256</v>
      </c>
      <c r="EA31" s="977"/>
      <c r="EB31" s="977"/>
      <c r="EC31" s="977"/>
      <c r="ED31" s="898" t="s">
        <v>13</v>
      </c>
      <c r="EE31" s="898"/>
      <c r="EF31" s="898"/>
      <c r="EG31" s="260"/>
      <c r="EH31" s="978" t="s">
        <v>254</v>
      </c>
      <c r="EI31" s="979"/>
      <c r="EJ31" s="979"/>
      <c r="EK31" s="979"/>
      <c r="EL31" s="979"/>
      <c r="EM31" s="979"/>
      <c r="EN31" s="979"/>
      <c r="EO31" s="979"/>
      <c r="EP31" s="979"/>
      <c r="EQ31" s="980"/>
      <c r="ER31" s="981">
        <f>2*(ER27+ER28)</f>
        <v>3100</v>
      </c>
      <c r="ES31" s="982"/>
      <c r="ET31" s="982"/>
      <c r="EU31" s="983"/>
      <c r="EV31" s="772" t="s">
        <v>2</v>
      </c>
      <c r="EW31" s="720"/>
      <c r="EX31" s="720"/>
      <c r="EY31" s="972"/>
      <c r="EZ31" s="45"/>
    </row>
    <row r="32" spans="3:156" ht="15" customHeight="1" x14ac:dyDescent="0.35">
      <c r="C32" s="970" t="s">
        <v>255</v>
      </c>
      <c r="D32" s="970"/>
      <c r="E32" s="970"/>
      <c r="F32" s="970"/>
      <c r="G32" s="970"/>
      <c r="H32" s="970"/>
      <c r="I32" s="970"/>
      <c r="J32" s="970"/>
      <c r="K32" s="970"/>
      <c r="L32" s="970"/>
      <c r="M32" s="976">
        <f>ROUND((-M31*Z14+((M31*Z14)^2+2*M27*M31*Z14*Z15*M28)^0.5)/(M27*Z15),1)</f>
        <v>79.599999999999994</v>
      </c>
      <c r="N32" s="976"/>
      <c r="O32" s="976"/>
      <c r="P32" s="976"/>
      <c r="Q32" s="898" t="s">
        <v>2</v>
      </c>
      <c r="R32" s="898"/>
      <c r="S32" s="898"/>
      <c r="T32" s="259"/>
      <c r="U32" s="978" t="s">
        <v>256</v>
      </c>
      <c r="V32" s="979"/>
      <c r="W32" s="979"/>
      <c r="X32" s="979"/>
      <c r="Y32" s="979"/>
      <c r="Z32" s="979"/>
      <c r="AA32" s="979"/>
      <c r="AB32" s="979"/>
      <c r="AC32" s="979"/>
      <c r="AD32" s="980"/>
      <c r="AE32" s="991">
        <f>(2*AE30/AE31)</f>
        <v>333.33333333333331</v>
      </c>
      <c r="AF32" s="992"/>
      <c r="AG32" s="992"/>
      <c r="AH32" s="993"/>
      <c r="AI32" s="772" t="s">
        <v>2</v>
      </c>
      <c r="AJ32" s="720"/>
      <c r="AK32" s="720"/>
      <c r="AL32" s="972"/>
      <c r="AM32" s="45"/>
      <c r="AP32" s="970" t="s">
        <v>255</v>
      </c>
      <c r="AQ32" s="970"/>
      <c r="AR32" s="970"/>
      <c r="AS32" s="970"/>
      <c r="AT32" s="970"/>
      <c r="AU32" s="970"/>
      <c r="AV32" s="970"/>
      <c r="AW32" s="970"/>
      <c r="AX32" s="970"/>
      <c r="AY32" s="970"/>
      <c r="AZ32" s="976">
        <f>ROUND((-AZ31*BM14+((AZ31*BM14)^2+2*AZ27*AZ31*BM14*BM15*AZ28)^0.5)/(AZ27*BM15),1)</f>
        <v>70.8</v>
      </c>
      <c r="BA32" s="976"/>
      <c r="BB32" s="976"/>
      <c r="BC32" s="976"/>
      <c r="BD32" s="898" t="s">
        <v>2</v>
      </c>
      <c r="BE32" s="898"/>
      <c r="BF32" s="898"/>
      <c r="BG32" s="259"/>
      <c r="BH32" s="978" t="s">
        <v>256</v>
      </c>
      <c r="BI32" s="979"/>
      <c r="BJ32" s="979"/>
      <c r="BK32" s="979"/>
      <c r="BL32" s="979"/>
      <c r="BM32" s="979"/>
      <c r="BN32" s="979"/>
      <c r="BO32" s="979"/>
      <c r="BP32" s="979"/>
      <c r="BQ32" s="980"/>
      <c r="BR32" s="991">
        <f>(2*BR30/BR31)</f>
        <v>354.83870967741933</v>
      </c>
      <c r="BS32" s="992"/>
      <c r="BT32" s="992"/>
      <c r="BU32" s="993"/>
      <c r="BV32" s="772" t="s">
        <v>2</v>
      </c>
      <c r="BW32" s="720"/>
      <c r="BX32" s="720"/>
      <c r="BY32" s="972"/>
      <c r="BZ32" s="45"/>
      <c r="CC32" s="970" t="s">
        <v>255</v>
      </c>
      <c r="CD32" s="970"/>
      <c r="CE32" s="970"/>
      <c r="CF32" s="970"/>
      <c r="CG32" s="970"/>
      <c r="CH32" s="970"/>
      <c r="CI32" s="970"/>
      <c r="CJ32" s="970"/>
      <c r="CK32" s="970"/>
      <c r="CL32" s="970"/>
      <c r="CM32" s="976">
        <f>ROUND((-CM31*CZ14+((CM31*CZ14)^2+2*CM27*CM31*CZ14*CZ15*CM28)^0.5)/(CM27*CZ15),1)</f>
        <v>70.8</v>
      </c>
      <c r="CN32" s="976"/>
      <c r="CO32" s="976"/>
      <c r="CP32" s="976"/>
      <c r="CQ32" s="898" t="s">
        <v>2</v>
      </c>
      <c r="CR32" s="898"/>
      <c r="CS32" s="898"/>
      <c r="CT32" s="259"/>
      <c r="CU32" s="978" t="s">
        <v>256</v>
      </c>
      <c r="CV32" s="979"/>
      <c r="CW32" s="979"/>
      <c r="CX32" s="979"/>
      <c r="CY32" s="979"/>
      <c r="CZ32" s="979"/>
      <c r="DA32" s="979"/>
      <c r="DB32" s="979"/>
      <c r="DC32" s="979"/>
      <c r="DD32" s="980"/>
      <c r="DE32" s="991">
        <f>(2*DE30/DE31)</f>
        <v>354.83870967741933</v>
      </c>
      <c r="DF32" s="992"/>
      <c r="DG32" s="992"/>
      <c r="DH32" s="993"/>
      <c r="DI32" s="772" t="s">
        <v>2</v>
      </c>
      <c r="DJ32" s="720"/>
      <c r="DK32" s="720"/>
      <c r="DL32" s="972"/>
      <c r="DM32" s="45"/>
      <c r="DP32" s="970" t="s">
        <v>255</v>
      </c>
      <c r="DQ32" s="970"/>
      <c r="DR32" s="970"/>
      <c r="DS32" s="970"/>
      <c r="DT32" s="970"/>
      <c r="DU32" s="970"/>
      <c r="DV32" s="970"/>
      <c r="DW32" s="970"/>
      <c r="DX32" s="970"/>
      <c r="DY32" s="970"/>
      <c r="DZ32" s="976">
        <f>ROUND((-DZ31*EM14+((DZ31*EM14)^2+2*DZ27*DZ31*EM14*EM15*DZ28)^0.5)/(DZ27*EM15),1)</f>
        <v>83.8</v>
      </c>
      <c r="EA32" s="976"/>
      <c r="EB32" s="976"/>
      <c r="EC32" s="976"/>
      <c r="ED32" s="898" t="s">
        <v>2</v>
      </c>
      <c r="EE32" s="898"/>
      <c r="EF32" s="898"/>
      <c r="EG32" s="259"/>
      <c r="EH32" s="978" t="s">
        <v>256</v>
      </c>
      <c r="EI32" s="979"/>
      <c r="EJ32" s="979"/>
      <c r="EK32" s="979"/>
      <c r="EL32" s="979"/>
      <c r="EM32" s="979"/>
      <c r="EN32" s="979"/>
      <c r="EO32" s="979"/>
      <c r="EP32" s="979"/>
      <c r="EQ32" s="980"/>
      <c r="ER32" s="991">
        <f>(2*ER30/ER31)</f>
        <v>354.83870967741933</v>
      </c>
      <c r="ES32" s="992"/>
      <c r="ET32" s="992"/>
      <c r="EU32" s="993"/>
      <c r="EV32" s="772" t="s">
        <v>2</v>
      </c>
      <c r="EW32" s="720"/>
      <c r="EX32" s="720"/>
      <c r="EY32" s="972"/>
      <c r="EZ32" s="45"/>
    </row>
    <row r="33" spans="1:156" ht="51.75" customHeight="1" x14ac:dyDescent="0.35">
      <c r="C33" s="974" t="s">
        <v>257</v>
      </c>
      <c r="D33" s="974"/>
      <c r="E33" s="974"/>
      <c r="F33" s="974"/>
      <c r="G33" s="974"/>
      <c r="H33" s="974"/>
      <c r="I33" s="974"/>
      <c r="J33" s="974"/>
      <c r="K33" s="974"/>
      <c r="L33" s="974"/>
      <c r="M33" s="975">
        <f>((M27*(M32^3))/3)+M30*M31*(M29-M32)^2</f>
        <v>1036649377.9549431</v>
      </c>
      <c r="N33" s="975"/>
      <c r="O33" s="975"/>
      <c r="P33" s="975"/>
      <c r="Q33" s="667" t="s">
        <v>258</v>
      </c>
      <c r="R33" s="667"/>
      <c r="S33" s="667"/>
      <c r="T33" s="261"/>
      <c r="U33" s="985" t="s">
        <v>259</v>
      </c>
      <c r="V33" s="986"/>
      <c r="W33" s="986"/>
      <c r="X33" s="986"/>
      <c r="Y33" s="986"/>
      <c r="Z33" s="986"/>
      <c r="AA33" s="986"/>
      <c r="AB33" s="986"/>
      <c r="AC33" s="986"/>
      <c r="AD33" s="987"/>
      <c r="AE33" s="988">
        <v>28</v>
      </c>
      <c r="AF33" s="989"/>
      <c r="AG33" s="989"/>
      <c r="AH33" s="990"/>
      <c r="AI33" s="772" t="s">
        <v>260</v>
      </c>
      <c r="AJ33" s="720"/>
      <c r="AK33" s="720"/>
      <c r="AL33" s="972"/>
      <c r="AM33" s="45"/>
      <c r="AP33" s="974" t="s">
        <v>257</v>
      </c>
      <c r="AQ33" s="974"/>
      <c r="AR33" s="974"/>
      <c r="AS33" s="974"/>
      <c r="AT33" s="974"/>
      <c r="AU33" s="974"/>
      <c r="AV33" s="974"/>
      <c r="AW33" s="974"/>
      <c r="AX33" s="974"/>
      <c r="AY33" s="974"/>
      <c r="AZ33" s="975">
        <f>((AZ27*(AZ32^3))/3)+AZ30*AZ31*(AZ29-AZ32)^2</f>
        <v>952708663.8256129</v>
      </c>
      <c r="BA33" s="975"/>
      <c r="BB33" s="975"/>
      <c r="BC33" s="975"/>
      <c r="BD33" s="667" t="s">
        <v>258</v>
      </c>
      <c r="BE33" s="667"/>
      <c r="BF33" s="667"/>
      <c r="BG33" s="261"/>
      <c r="BH33" s="985" t="s">
        <v>259</v>
      </c>
      <c r="BI33" s="986"/>
      <c r="BJ33" s="986"/>
      <c r="BK33" s="986"/>
      <c r="BL33" s="986"/>
      <c r="BM33" s="986"/>
      <c r="BN33" s="986"/>
      <c r="BO33" s="986"/>
      <c r="BP33" s="986"/>
      <c r="BQ33" s="987"/>
      <c r="BR33" s="988">
        <v>28</v>
      </c>
      <c r="BS33" s="989"/>
      <c r="BT33" s="989"/>
      <c r="BU33" s="990"/>
      <c r="BV33" s="772" t="s">
        <v>260</v>
      </c>
      <c r="BW33" s="720"/>
      <c r="BX33" s="720"/>
      <c r="BY33" s="972"/>
      <c r="BZ33" s="45"/>
      <c r="CC33" s="974" t="s">
        <v>257</v>
      </c>
      <c r="CD33" s="974"/>
      <c r="CE33" s="974"/>
      <c r="CF33" s="974"/>
      <c r="CG33" s="974"/>
      <c r="CH33" s="974"/>
      <c r="CI33" s="974"/>
      <c r="CJ33" s="974"/>
      <c r="CK33" s="974"/>
      <c r="CL33" s="974"/>
      <c r="CM33" s="975">
        <f>((CM27*(CM32^3))/3)+CM30*CM31*(CM29-CM32)^2</f>
        <v>952708663.8256129</v>
      </c>
      <c r="CN33" s="975"/>
      <c r="CO33" s="975"/>
      <c r="CP33" s="975"/>
      <c r="CQ33" s="667" t="s">
        <v>258</v>
      </c>
      <c r="CR33" s="667"/>
      <c r="CS33" s="667"/>
      <c r="CT33" s="261"/>
      <c r="CU33" s="985" t="s">
        <v>259</v>
      </c>
      <c r="CV33" s="986"/>
      <c r="CW33" s="986"/>
      <c r="CX33" s="986"/>
      <c r="CY33" s="986"/>
      <c r="CZ33" s="986"/>
      <c r="DA33" s="986"/>
      <c r="DB33" s="986"/>
      <c r="DC33" s="986"/>
      <c r="DD33" s="987"/>
      <c r="DE33" s="988">
        <v>28</v>
      </c>
      <c r="DF33" s="989"/>
      <c r="DG33" s="989"/>
      <c r="DH33" s="990"/>
      <c r="DI33" s="816" t="s">
        <v>260</v>
      </c>
      <c r="DJ33" s="729"/>
      <c r="DK33" s="729"/>
      <c r="DL33" s="755"/>
      <c r="DM33" s="45"/>
      <c r="DP33" s="974" t="s">
        <v>257</v>
      </c>
      <c r="DQ33" s="974"/>
      <c r="DR33" s="974"/>
      <c r="DS33" s="974"/>
      <c r="DT33" s="974"/>
      <c r="DU33" s="974"/>
      <c r="DV33" s="974"/>
      <c r="DW33" s="974"/>
      <c r="DX33" s="974"/>
      <c r="DY33" s="974"/>
      <c r="DZ33" s="975">
        <f>((DZ27*(DZ32^3))/3)+DZ30*DZ31*(DZ29-DZ32)^2</f>
        <v>1314911762.1590278</v>
      </c>
      <c r="EA33" s="975"/>
      <c r="EB33" s="975"/>
      <c r="EC33" s="975"/>
      <c r="ED33" s="667" t="s">
        <v>258</v>
      </c>
      <c r="EE33" s="667"/>
      <c r="EF33" s="667"/>
      <c r="EG33" s="261"/>
      <c r="EH33" s="985" t="s">
        <v>259</v>
      </c>
      <c r="EI33" s="986"/>
      <c r="EJ33" s="986"/>
      <c r="EK33" s="986"/>
      <c r="EL33" s="986"/>
      <c r="EM33" s="986"/>
      <c r="EN33" s="986"/>
      <c r="EO33" s="986"/>
      <c r="EP33" s="986"/>
      <c r="EQ33" s="987"/>
      <c r="ER33" s="988">
        <v>28</v>
      </c>
      <c r="ES33" s="989"/>
      <c r="ET33" s="989"/>
      <c r="EU33" s="990"/>
      <c r="EV33" s="816" t="s">
        <v>260</v>
      </c>
      <c r="EW33" s="729"/>
      <c r="EX33" s="729"/>
      <c r="EY33" s="755"/>
      <c r="EZ33" s="45"/>
    </row>
    <row r="34" spans="1:156" x14ac:dyDescent="0.35">
      <c r="C34" s="970" t="s">
        <v>261</v>
      </c>
      <c r="D34" s="970"/>
      <c r="E34" s="970"/>
      <c r="F34" s="970"/>
      <c r="G34" s="970"/>
      <c r="H34" s="970"/>
      <c r="I34" s="970"/>
      <c r="J34" s="970"/>
      <c r="K34" s="970"/>
      <c r="L34" s="970"/>
      <c r="M34" s="976">
        <f>(M30*(M26*10^6*(M29-M32)))/M33</f>
        <v>103.62652093936471</v>
      </c>
      <c r="N34" s="976"/>
      <c r="O34" s="976"/>
      <c r="P34" s="976"/>
      <c r="Q34" s="898" t="s">
        <v>63</v>
      </c>
      <c r="R34" s="898"/>
      <c r="S34" s="898"/>
      <c r="T34" s="259"/>
      <c r="U34" s="978" t="s">
        <v>262</v>
      </c>
      <c r="V34" s="979"/>
      <c r="W34" s="979"/>
      <c r="X34" s="979"/>
      <c r="Y34" s="979"/>
      <c r="Z34" s="979"/>
      <c r="AA34" s="979"/>
      <c r="AB34" s="979"/>
      <c r="AC34" s="979"/>
      <c r="AD34" s="980"/>
      <c r="AE34" s="991">
        <f>B108</f>
        <v>1.6185185185185185</v>
      </c>
      <c r="AF34" s="992"/>
      <c r="AG34" s="992"/>
      <c r="AH34" s="993"/>
      <c r="AI34" s="772"/>
      <c r="AJ34" s="720"/>
      <c r="AK34" s="720"/>
      <c r="AL34" s="972"/>
      <c r="AM34" s="45"/>
      <c r="AP34" s="970" t="s">
        <v>261</v>
      </c>
      <c r="AQ34" s="970"/>
      <c r="AR34" s="970"/>
      <c r="AS34" s="970"/>
      <c r="AT34" s="970"/>
      <c r="AU34" s="970"/>
      <c r="AV34" s="970"/>
      <c r="AW34" s="970"/>
      <c r="AX34" s="970"/>
      <c r="AY34" s="970"/>
      <c r="AZ34" s="976">
        <f>(AZ30*(AZ26*10^6*(AZ29-AZ32)))/AZ33</f>
        <v>1.0564143068994407</v>
      </c>
      <c r="BA34" s="976"/>
      <c r="BB34" s="976"/>
      <c r="BC34" s="976"/>
      <c r="BD34" s="898" t="s">
        <v>63</v>
      </c>
      <c r="BE34" s="898"/>
      <c r="BF34" s="898"/>
      <c r="BG34" s="259"/>
      <c r="BH34" s="978" t="s">
        <v>262</v>
      </c>
      <c r="BI34" s="979"/>
      <c r="BJ34" s="979"/>
      <c r="BK34" s="979"/>
      <c r="BL34" s="979"/>
      <c r="BM34" s="979"/>
      <c r="BN34" s="979"/>
      <c r="BO34" s="979"/>
      <c r="BP34" s="979"/>
      <c r="BQ34" s="980"/>
      <c r="BR34" s="991">
        <f>AO108</f>
        <v>1.6089605734767025</v>
      </c>
      <c r="BS34" s="992"/>
      <c r="BT34" s="992"/>
      <c r="BU34" s="993"/>
      <c r="BV34" s="772"/>
      <c r="BW34" s="720"/>
      <c r="BX34" s="720"/>
      <c r="BY34" s="972"/>
      <c r="BZ34" s="45"/>
      <c r="CC34" s="970" t="s">
        <v>261</v>
      </c>
      <c r="CD34" s="970"/>
      <c r="CE34" s="970"/>
      <c r="CF34" s="970"/>
      <c r="CG34" s="970"/>
      <c r="CH34" s="970"/>
      <c r="CI34" s="970"/>
      <c r="CJ34" s="970"/>
      <c r="CK34" s="970"/>
      <c r="CL34" s="970"/>
      <c r="CM34" s="976">
        <f>(CM30*(CM26*10^6*(CM29-CM32)))/CM33</f>
        <v>39.252289290657806</v>
      </c>
      <c r="CN34" s="976"/>
      <c r="CO34" s="976"/>
      <c r="CP34" s="976"/>
      <c r="CQ34" s="898" t="s">
        <v>63</v>
      </c>
      <c r="CR34" s="898"/>
      <c r="CS34" s="898"/>
      <c r="CT34" s="259"/>
      <c r="CU34" s="978" t="s">
        <v>262</v>
      </c>
      <c r="CV34" s="979"/>
      <c r="CW34" s="979"/>
      <c r="CX34" s="979"/>
      <c r="CY34" s="979"/>
      <c r="CZ34" s="979"/>
      <c r="DA34" s="979"/>
      <c r="DB34" s="979"/>
      <c r="DC34" s="979"/>
      <c r="DD34" s="980"/>
      <c r="DE34" s="991">
        <f>CB108</f>
        <v>1.6089605734767025</v>
      </c>
      <c r="DF34" s="992"/>
      <c r="DG34" s="992"/>
      <c r="DH34" s="993"/>
      <c r="DI34" s="772"/>
      <c r="DJ34" s="720"/>
      <c r="DK34" s="720"/>
      <c r="DL34" s="972"/>
      <c r="DM34" s="45"/>
      <c r="DP34" s="970" t="s">
        <v>261</v>
      </c>
      <c r="DQ34" s="970"/>
      <c r="DR34" s="970"/>
      <c r="DS34" s="970"/>
      <c r="DT34" s="970"/>
      <c r="DU34" s="970"/>
      <c r="DV34" s="970"/>
      <c r="DW34" s="970"/>
      <c r="DX34" s="970"/>
      <c r="DY34" s="970"/>
      <c r="DZ34" s="976">
        <f>(DZ30*(DZ26*10^6*(DZ29-DZ32)))/DZ33</f>
        <v>36.304885835997759</v>
      </c>
      <c r="EA34" s="976"/>
      <c r="EB34" s="976"/>
      <c r="EC34" s="976"/>
      <c r="ED34" s="898" t="s">
        <v>63</v>
      </c>
      <c r="EE34" s="898"/>
      <c r="EF34" s="898"/>
      <c r="EG34" s="259"/>
      <c r="EH34" s="978" t="s">
        <v>262</v>
      </c>
      <c r="EI34" s="979"/>
      <c r="EJ34" s="979"/>
      <c r="EK34" s="979"/>
      <c r="EL34" s="979"/>
      <c r="EM34" s="979"/>
      <c r="EN34" s="979"/>
      <c r="EO34" s="979"/>
      <c r="EP34" s="979"/>
      <c r="EQ34" s="980"/>
      <c r="ER34" s="991">
        <f>DO108</f>
        <v>1.6089605734767025</v>
      </c>
      <c r="ES34" s="992"/>
      <c r="ET34" s="992"/>
      <c r="EU34" s="993"/>
      <c r="EV34" s="772"/>
      <c r="EW34" s="720"/>
      <c r="EX34" s="720"/>
      <c r="EY34" s="972"/>
      <c r="EZ34" s="45"/>
    </row>
    <row r="35" spans="1:156" ht="17" x14ac:dyDescent="0.35">
      <c r="C35" s="970" t="s">
        <v>263</v>
      </c>
      <c r="D35" s="970"/>
      <c r="E35" s="970"/>
      <c r="F35" s="970"/>
      <c r="G35" s="970"/>
      <c r="H35" s="970"/>
      <c r="I35" s="970"/>
      <c r="J35" s="970"/>
      <c r="K35" s="970"/>
      <c r="L35" s="970"/>
      <c r="M35" s="973" t="str">
        <f>IF(M34&lt;Z13,"Safe","Not Safe")</f>
        <v>Safe</v>
      </c>
      <c r="N35" s="973"/>
      <c r="O35" s="973"/>
      <c r="P35" s="973"/>
      <c r="Q35" s="898"/>
      <c r="R35" s="898"/>
      <c r="S35" s="898"/>
      <c r="T35" s="262"/>
      <c r="U35" s="978" t="s">
        <v>264</v>
      </c>
      <c r="V35" s="979"/>
      <c r="W35" s="979"/>
      <c r="X35" s="979"/>
      <c r="Y35" s="979"/>
      <c r="Z35" s="979"/>
      <c r="AA35" s="979"/>
      <c r="AB35" s="979"/>
      <c r="AC35" s="979"/>
      <c r="AD35" s="980"/>
      <c r="AE35" s="981">
        <f>Z15/(1+AE34)</f>
        <v>11456.859971711456</v>
      </c>
      <c r="AF35" s="982"/>
      <c r="AG35" s="982"/>
      <c r="AH35" s="983"/>
      <c r="AI35" s="772" t="s">
        <v>63</v>
      </c>
      <c r="AJ35" s="720"/>
      <c r="AK35" s="720"/>
      <c r="AL35" s="972"/>
      <c r="AM35" s="45"/>
      <c r="AP35" s="970" t="s">
        <v>263</v>
      </c>
      <c r="AQ35" s="970"/>
      <c r="AR35" s="970"/>
      <c r="AS35" s="970"/>
      <c r="AT35" s="970"/>
      <c r="AU35" s="970"/>
      <c r="AV35" s="970"/>
      <c r="AW35" s="970"/>
      <c r="AX35" s="970"/>
      <c r="AY35" s="970"/>
      <c r="AZ35" s="973" t="str">
        <f>IF(AZ34&lt;BM13,"Safe","Not Safe")</f>
        <v>Safe</v>
      </c>
      <c r="BA35" s="973"/>
      <c r="BB35" s="973"/>
      <c r="BC35" s="973"/>
      <c r="BD35" s="898"/>
      <c r="BE35" s="898"/>
      <c r="BF35" s="898"/>
      <c r="BG35" s="262"/>
      <c r="BH35" s="978" t="s">
        <v>264</v>
      </c>
      <c r="BI35" s="979"/>
      <c r="BJ35" s="979"/>
      <c r="BK35" s="979"/>
      <c r="BL35" s="979"/>
      <c r="BM35" s="979"/>
      <c r="BN35" s="979"/>
      <c r="BO35" s="979"/>
      <c r="BP35" s="979"/>
      <c r="BQ35" s="980"/>
      <c r="BR35" s="1022">
        <f>BM15/(1+BR34)</f>
        <v>11498.832257178185</v>
      </c>
      <c r="BS35" s="1023"/>
      <c r="BT35" s="1023"/>
      <c r="BU35" s="1024"/>
      <c r="BV35" s="772" t="s">
        <v>63</v>
      </c>
      <c r="BW35" s="720"/>
      <c r="BX35" s="720"/>
      <c r="BY35" s="972"/>
      <c r="BZ35" s="45"/>
      <c r="CC35" s="970" t="s">
        <v>263</v>
      </c>
      <c r="CD35" s="970"/>
      <c r="CE35" s="970"/>
      <c r="CF35" s="970"/>
      <c r="CG35" s="970"/>
      <c r="CH35" s="970"/>
      <c r="CI35" s="970"/>
      <c r="CJ35" s="970"/>
      <c r="CK35" s="970"/>
      <c r="CL35" s="970"/>
      <c r="CM35" s="973" t="str">
        <f>IF(CM34&lt;CZ13,"Safe","Not Safe")</f>
        <v>Safe</v>
      </c>
      <c r="CN35" s="973"/>
      <c r="CO35" s="973"/>
      <c r="CP35" s="973"/>
      <c r="CQ35" s="898"/>
      <c r="CR35" s="898"/>
      <c r="CS35" s="898"/>
      <c r="CT35" s="262"/>
      <c r="CU35" s="978" t="s">
        <v>264</v>
      </c>
      <c r="CV35" s="979"/>
      <c r="CW35" s="979"/>
      <c r="CX35" s="979"/>
      <c r="CY35" s="979"/>
      <c r="CZ35" s="979"/>
      <c r="DA35" s="979"/>
      <c r="DB35" s="979"/>
      <c r="DC35" s="979"/>
      <c r="DD35" s="980"/>
      <c r="DE35" s="1022">
        <f>CZ15/(1+DE34)</f>
        <v>11498.832257178185</v>
      </c>
      <c r="DF35" s="1023"/>
      <c r="DG35" s="1023"/>
      <c r="DH35" s="1024"/>
      <c r="DI35" s="772" t="s">
        <v>63</v>
      </c>
      <c r="DJ35" s="720"/>
      <c r="DK35" s="720"/>
      <c r="DL35" s="972"/>
      <c r="DM35" s="45"/>
      <c r="DP35" s="970" t="s">
        <v>263</v>
      </c>
      <c r="DQ35" s="970"/>
      <c r="DR35" s="970"/>
      <c r="DS35" s="970"/>
      <c r="DT35" s="970"/>
      <c r="DU35" s="970"/>
      <c r="DV35" s="970"/>
      <c r="DW35" s="970"/>
      <c r="DX35" s="970"/>
      <c r="DY35" s="970"/>
      <c r="DZ35" s="973" t="str">
        <f>IF(DZ34&lt;EM13,"Safe","Not Safe")</f>
        <v>Safe</v>
      </c>
      <c r="EA35" s="973"/>
      <c r="EB35" s="973"/>
      <c r="EC35" s="973"/>
      <c r="ED35" s="898"/>
      <c r="EE35" s="898"/>
      <c r="EF35" s="898"/>
      <c r="EG35" s="262"/>
      <c r="EH35" s="978" t="s">
        <v>264</v>
      </c>
      <c r="EI35" s="979"/>
      <c r="EJ35" s="979"/>
      <c r="EK35" s="979"/>
      <c r="EL35" s="979"/>
      <c r="EM35" s="979"/>
      <c r="EN35" s="979"/>
      <c r="EO35" s="979"/>
      <c r="EP35" s="979"/>
      <c r="EQ35" s="980"/>
      <c r="ER35" s="981">
        <f>EM15/(1+ER34)</f>
        <v>11498.832257178185</v>
      </c>
      <c r="ES35" s="982"/>
      <c r="ET35" s="982"/>
      <c r="EU35" s="983"/>
      <c r="EV35" s="772" t="s">
        <v>63</v>
      </c>
      <c r="EW35" s="720"/>
      <c r="EX35" s="720"/>
      <c r="EY35" s="972"/>
      <c r="EZ35" s="45"/>
    </row>
    <row r="36" spans="1:156" x14ac:dyDescent="0.35">
      <c r="C36" s="970" t="s">
        <v>265</v>
      </c>
      <c r="D36" s="970"/>
      <c r="E36" s="970"/>
      <c r="F36" s="970"/>
      <c r="G36" s="970"/>
      <c r="H36" s="970"/>
      <c r="I36" s="970"/>
      <c r="J36" s="970"/>
      <c r="K36" s="970"/>
      <c r="L36" s="970"/>
      <c r="M36" s="971">
        <f>((M26*10^6)*M32)/M33</f>
        <v>3.6455529169593826</v>
      </c>
      <c r="N36" s="971"/>
      <c r="O36" s="971"/>
      <c r="P36" s="971"/>
      <c r="Q36" s="898" t="s">
        <v>63</v>
      </c>
      <c r="R36" s="898"/>
      <c r="S36" s="898"/>
      <c r="T36" s="263"/>
      <c r="U36" s="974" t="s">
        <v>266</v>
      </c>
      <c r="V36" s="974"/>
      <c r="W36" s="974"/>
      <c r="X36" s="974"/>
      <c r="Y36" s="974"/>
      <c r="Z36" s="974"/>
      <c r="AA36" s="974"/>
      <c r="AB36" s="974"/>
      <c r="AC36" s="974"/>
      <c r="AD36" s="974"/>
      <c r="AE36" s="984">
        <f>Z14/AE35</f>
        <v>17.456790123456791</v>
      </c>
      <c r="AF36" s="984"/>
      <c r="AG36" s="984"/>
      <c r="AH36" s="984"/>
      <c r="AI36" s="816"/>
      <c r="AJ36" s="729"/>
      <c r="AK36" s="729"/>
      <c r="AL36" s="755"/>
      <c r="AM36" s="45"/>
      <c r="AP36" s="970" t="s">
        <v>265</v>
      </c>
      <c r="AQ36" s="970"/>
      <c r="AR36" s="970"/>
      <c r="AS36" s="970"/>
      <c r="AT36" s="970"/>
      <c r="AU36" s="970"/>
      <c r="AV36" s="970"/>
      <c r="AW36" s="970"/>
      <c r="AX36" s="970"/>
      <c r="AY36" s="970"/>
      <c r="AZ36" s="971">
        <f>((AZ26*10^6)*AZ32)/AZ33</f>
        <v>2.8104007863907963E-2</v>
      </c>
      <c r="BA36" s="971"/>
      <c r="BB36" s="971"/>
      <c r="BC36" s="971"/>
      <c r="BD36" s="898" t="s">
        <v>63</v>
      </c>
      <c r="BE36" s="898"/>
      <c r="BF36" s="898"/>
      <c r="BG36" s="263"/>
      <c r="BH36" s="974" t="s">
        <v>266</v>
      </c>
      <c r="BI36" s="974"/>
      <c r="BJ36" s="974"/>
      <c r="BK36" s="974"/>
      <c r="BL36" s="974"/>
      <c r="BM36" s="974"/>
      <c r="BN36" s="974"/>
      <c r="BO36" s="974"/>
      <c r="BP36" s="974"/>
      <c r="BQ36" s="974"/>
      <c r="BR36" s="984">
        <f>BM14/BR35</f>
        <v>17.393070489844682</v>
      </c>
      <c r="BS36" s="984"/>
      <c r="BT36" s="984"/>
      <c r="BU36" s="984"/>
      <c r="BV36" s="816"/>
      <c r="BW36" s="729"/>
      <c r="BX36" s="729"/>
      <c r="BY36" s="755"/>
      <c r="BZ36" s="45"/>
      <c r="CC36" s="970" t="s">
        <v>265</v>
      </c>
      <c r="CD36" s="970"/>
      <c r="CE36" s="970"/>
      <c r="CF36" s="970"/>
      <c r="CG36" s="970"/>
      <c r="CH36" s="970"/>
      <c r="CI36" s="970"/>
      <c r="CJ36" s="970"/>
      <c r="CK36" s="970"/>
      <c r="CL36" s="970"/>
      <c r="CM36" s="971">
        <f>((CM26*10^6)*CM32)/CM33</f>
        <v>1.0442367541753153</v>
      </c>
      <c r="CN36" s="971"/>
      <c r="CO36" s="971"/>
      <c r="CP36" s="971"/>
      <c r="CQ36" s="898" t="s">
        <v>63</v>
      </c>
      <c r="CR36" s="898"/>
      <c r="CS36" s="898"/>
      <c r="CT36" s="263"/>
      <c r="CU36" s="974" t="s">
        <v>266</v>
      </c>
      <c r="CV36" s="974"/>
      <c r="CW36" s="974"/>
      <c r="CX36" s="974"/>
      <c r="CY36" s="974"/>
      <c r="CZ36" s="974"/>
      <c r="DA36" s="974"/>
      <c r="DB36" s="974"/>
      <c r="DC36" s="974"/>
      <c r="DD36" s="974"/>
      <c r="DE36" s="984">
        <f>CZ14/DE35</f>
        <v>17.393070489844682</v>
      </c>
      <c r="DF36" s="984"/>
      <c r="DG36" s="984"/>
      <c r="DH36" s="984"/>
      <c r="DI36" s="816"/>
      <c r="DJ36" s="729"/>
      <c r="DK36" s="729"/>
      <c r="DL36" s="755"/>
      <c r="DM36" s="45"/>
      <c r="DP36" s="970" t="s">
        <v>265</v>
      </c>
      <c r="DQ36" s="970"/>
      <c r="DR36" s="970"/>
      <c r="DS36" s="970"/>
      <c r="DT36" s="970"/>
      <c r="DU36" s="970"/>
      <c r="DV36" s="970"/>
      <c r="DW36" s="970"/>
      <c r="DX36" s="970"/>
      <c r="DY36" s="970"/>
      <c r="DZ36" s="971">
        <f>((DZ26*10^6)*DZ32)/DZ33</f>
        <v>1.1847155113148797</v>
      </c>
      <c r="EA36" s="971"/>
      <c r="EB36" s="971"/>
      <c r="EC36" s="971"/>
      <c r="ED36" s="898" t="s">
        <v>63</v>
      </c>
      <c r="EE36" s="898"/>
      <c r="EF36" s="898"/>
      <c r="EG36" s="263"/>
      <c r="EH36" s="974" t="s">
        <v>266</v>
      </c>
      <c r="EI36" s="974"/>
      <c r="EJ36" s="974"/>
      <c r="EK36" s="974"/>
      <c r="EL36" s="974"/>
      <c r="EM36" s="974"/>
      <c r="EN36" s="974"/>
      <c r="EO36" s="974"/>
      <c r="EP36" s="974"/>
      <c r="EQ36" s="974"/>
      <c r="ER36" s="984">
        <f>EM14/ER35</f>
        <v>17.393070489844682</v>
      </c>
      <c r="ES36" s="984"/>
      <c r="ET36" s="984"/>
      <c r="EU36" s="984"/>
      <c r="EV36" s="816"/>
      <c r="EW36" s="729"/>
      <c r="EX36" s="729"/>
      <c r="EY36" s="755"/>
      <c r="EZ36" s="45"/>
    </row>
    <row r="37" spans="1:156" x14ac:dyDescent="0.35">
      <c r="C37" s="970" t="s">
        <v>267</v>
      </c>
      <c r="D37" s="970"/>
      <c r="E37" s="970"/>
      <c r="F37" s="970"/>
      <c r="G37" s="970"/>
      <c r="H37" s="970"/>
      <c r="I37" s="970"/>
      <c r="J37" s="970"/>
      <c r="K37" s="970"/>
      <c r="L37" s="970"/>
      <c r="M37" s="973" t="str">
        <f>IF(M36&lt;Z12,"Safe","Not Safe")</f>
        <v>Safe</v>
      </c>
      <c r="N37" s="973"/>
      <c r="O37" s="973"/>
      <c r="P37" s="973"/>
      <c r="Q37" s="898"/>
      <c r="R37" s="898"/>
      <c r="S37" s="898"/>
      <c r="T37" s="262"/>
      <c r="U37" s="974" t="s">
        <v>268</v>
      </c>
      <c r="V37" s="974"/>
      <c r="W37" s="974"/>
      <c r="X37" s="974"/>
      <c r="Y37" s="974"/>
      <c r="Z37" s="974"/>
      <c r="AA37" s="974"/>
      <c r="AB37" s="974"/>
      <c r="AC37" s="974"/>
      <c r="AD37" s="974"/>
      <c r="AE37" s="977">
        <f>M31</f>
        <v>1130.9733552923256</v>
      </c>
      <c r="AF37" s="977"/>
      <c r="AG37" s="977"/>
      <c r="AH37" s="977"/>
      <c r="AI37" s="772" t="s">
        <v>13</v>
      </c>
      <c r="AJ37" s="720"/>
      <c r="AK37" s="720"/>
      <c r="AL37" s="972"/>
      <c r="AM37" s="45"/>
      <c r="AP37" s="970" t="s">
        <v>267</v>
      </c>
      <c r="AQ37" s="970"/>
      <c r="AR37" s="970"/>
      <c r="AS37" s="970"/>
      <c r="AT37" s="970"/>
      <c r="AU37" s="970"/>
      <c r="AV37" s="970"/>
      <c r="AW37" s="970"/>
      <c r="AX37" s="970"/>
      <c r="AY37" s="970"/>
      <c r="AZ37" s="973" t="str">
        <f>IF(AZ36&lt;BM12,"Safe","Not Safe")</f>
        <v>Safe</v>
      </c>
      <c r="BA37" s="973"/>
      <c r="BB37" s="973"/>
      <c r="BC37" s="973"/>
      <c r="BD37" s="898"/>
      <c r="BE37" s="898"/>
      <c r="BF37" s="898"/>
      <c r="BG37" s="262"/>
      <c r="BH37" s="974" t="s">
        <v>268</v>
      </c>
      <c r="BI37" s="974"/>
      <c r="BJ37" s="974"/>
      <c r="BK37" s="974"/>
      <c r="BL37" s="974"/>
      <c r="BM37" s="974"/>
      <c r="BN37" s="974"/>
      <c r="BO37" s="974"/>
      <c r="BP37" s="974"/>
      <c r="BQ37" s="974"/>
      <c r="BR37" s="977">
        <f>AZ31</f>
        <v>785.39816339744834</v>
      </c>
      <c r="BS37" s="977"/>
      <c r="BT37" s="977"/>
      <c r="BU37" s="977"/>
      <c r="BV37" s="772" t="s">
        <v>13</v>
      </c>
      <c r="BW37" s="720"/>
      <c r="BX37" s="720"/>
      <c r="BY37" s="972"/>
      <c r="BZ37" s="45"/>
      <c r="CC37" s="970" t="s">
        <v>267</v>
      </c>
      <c r="CD37" s="970"/>
      <c r="CE37" s="970"/>
      <c r="CF37" s="970"/>
      <c r="CG37" s="970"/>
      <c r="CH37" s="970"/>
      <c r="CI37" s="970"/>
      <c r="CJ37" s="970"/>
      <c r="CK37" s="970"/>
      <c r="CL37" s="970"/>
      <c r="CM37" s="973" t="str">
        <f>IF(CM36&lt;CZ12,"Safe","Not Safe")</f>
        <v>Safe</v>
      </c>
      <c r="CN37" s="973"/>
      <c r="CO37" s="973"/>
      <c r="CP37" s="973"/>
      <c r="CQ37" s="898"/>
      <c r="CR37" s="898"/>
      <c r="CS37" s="898"/>
      <c r="CT37" s="262"/>
      <c r="CU37" s="974" t="s">
        <v>268</v>
      </c>
      <c r="CV37" s="974"/>
      <c r="CW37" s="974"/>
      <c r="CX37" s="974"/>
      <c r="CY37" s="974"/>
      <c r="CZ37" s="974"/>
      <c r="DA37" s="974"/>
      <c r="DB37" s="974"/>
      <c r="DC37" s="974"/>
      <c r="DD37" s="974"/>
      <c r="DE37" s="977">
        <f>CM31</f>
        <v>785.39816339744834</v>
      </c>
      <c r="DF37" s="977"/>
      <c r="DG37" s="977"/>
      <c r="DH37" s="977"/>
      <c r="DI37" s="772" t="s">
        <v>13</v>
      </c>
      <c r="DJ37" s="720"/>
      <c r="DK37" s="720"/>
      <c r="DL37" s="972"/>
      <c r="DM37" s="45"/>
      <c r="DP37" s="970" t="s">
        <v>267</v>
      </c>
      <c r="DQ37" s="970"/>
      <c r="DR37" s="970"/>
      <c r="DS37" s="970"/>
      <c r="DT37" s="970"/>
      <c r="DU37" s="970"/>
      <c r="DV37" s="970"/>
      <c r="DW37" s="970"/>
      <c r="DX37" s="970"/>
      <c r="DY37" s="970"/>
      <c r="DZ37" s="973" t="str">
        <f>IF(DZ36&lt;EM12,"Safe","Not Safe")</f>
        <v>Safe</v>
      </c>
      <c r="EA37" s="973"/>
      <c r="EB37" s="973"/>
      <c r="EC37" s="973"/>
      <c r="ED37" s="898"/>
      <c r="EE37" s="898"/>
      <c r="EF37" s="898"/>
      <c r="EG37" s="262"/>
      <c r="EH37" s="974" t="s">
        <v>268</v>
      </c>
      <c r="EI37" s="974"/>
      <c r="EJ37" s="974"/>
      <c r="EK37" s="974"/>
      <c r="EL37" s="974"/>
      <c r="EM37" s="974"/>
      <c r="EN37" s="974"/>
      <c r="EO37" s="974"/>
      <c r="EP37" s="974"/>
      <c r="EQ37" s="974"/>
      <c r="ER37" s="977">
        <f>DZ31</f>
        <v>1130.9733552923256</v>
      </c>
      <c r="ES37" s="977"/>
      <c r="ET37" s="977"/>
      <c r="EU37" s="977"/>
      <c r="EV37" s="772" t="s">
        <v>13</v>
      </c>
      <c r="EW37" s="720"/>
      <c r="EX37" s="720"/>
      <c r="EY37" s="972"/>
      <c r="EZ37" s="45"/>
    </row>
    <row r="38" spans="1:156" x14ac:dyDescent="0.35">
      <c r="U38" s="970" t="s">
        <v>269</v>
      </c>
      <c r="V38" s="970"/>
      <c r="W38" s="970"/>
      <c r="X38" s="970"/>
      <c r="Y38" s="970"/>
      <c r="Z38" s="970"/>
      <c r="AA38" s="970"/>
      <c r="AB38" s="970"/>
      <c r="AC38" s="970"/>
      <c r="AD38" s="970"/>
      <c r="AE38" s="976">
        <f>M32</f>
        <v>79.599999999999994</v>
      </c>
      <c r="AF38" s="898"/>
      <c r="AG38" s="898"/>
      <c r="AH38" s="898"/>
      <c r="AI38" s="772" t="s">
        <v>2</v>
      </c>
      <c r="AJ38" s="720"/>
      <c r="AK38" s="720"/>
      <c r="AL38" s="972"/>
      <c r="AM38" s="45"/>
      <c r="BH38" s="970" t="s">
        <v>269</v>
      </c>
      <c r="BI38" s="970"/>
      <c r="BJ38" s="970"/>
      <c r="BK38" s="970"/>
      <c r="BL38" s="970"/>
      <c r="BM38" s="970"/>
      <c r="BN38" s="970"/>
      <c r="BO38" s="970"/>
      <c r="BP38" s="970"/>
      <c r="BQ38" s="970"/>
      <c r="BR38" s="976">
        <f>AZ32</f>
        <v>70.8</v>
      </c>
      <c r="BS38" s="898"/>
      <c r="BT38" s="898"/>
      <c r="BU38" s="898"/>
      <c r="BV38" s="772" t="s">
        <v>2</v>
      </c>
      <c r="BW38" s="720"/>
      <c r="BX38" s="720"/>
      <c r="BY38" s="972"/>
      <c r="BZ38" s="45"/>
      <c r="CU38" s="970" t="s">
        <v>269</v>
      </c>
      <c r="CV38" s="970"/>
      <c r="CW38" s="970"/>
      <c r="CX38" s="970"/>
      <c r="CY38" s="970"/>
      <c r="CZ38" s="970"/>
      <c r="DA38" s="970"/>
      <c r="DB38" s="970"/>
      <c r="DC38" s="970"/>
      <c r="DD38" s="970"/>
      <c r="DE38" s="976">
        <f>CM32</f>
        <v>70.8</v>
      </c>
      <c r="DF38" s="898"/>
      <c r="DG38" s="898"/>
      <c r="DH38" s="898"/>
      <c r="DI38" s="772" t="s">
        <v>2</v>
      </c>
      <c r="DJ38" s="720"/>
      <c r="DK38" s="720"/>
      <c r="DL38" s="972"/>
      <c r="DM38" s="45"/>
      <c r="EH38" s="970" t="s">
        <v>269</v>
      </c>
      <c r="EI38" s="970"/>
      <c r="EJ38" s="970"/>
      <c r="EK38" s="970"/>
      <c r="EL38" s="970"/>
      <c r="EM38" s="970"/>
      <c r="EN38" s="970"/>
      <c r="EO38" s="970"/>
      <c r="EP38" s="970"/>
      <c r="EQ38" s="970"/>
      <c r="ER38" s="976">
        <f>DZ32</f>
        <v>83.8</v>
      </c>
      <c r="ES38" s="898"/>
      <c r="ET38" s="898"/>
      <c r="EU38" s="898"/>
      <c r="EV38" s="772" t="s">
        <v>2</v>
      </c>
      <c r="EW38" s="720"/>
      <c r="EX38" s="720"/>
      <c r="EY38" s="972"/>
      <c r="EZ38" s="45"/>
    </row>
    <row r="39" spans="1:156" ht="54" customHeight="1" x14ac:dyDescent="0.35">
      <c r="B39" s="45"/>
      <c r="C39" s="45"/>
      <c r="D39" s="45"/>
      <c r="E39" s="45"/>
      <c r="F39" s="45"/>
      <c r="G39" s="45"/>
      <c r="H39" s="45"/>
      <c r="I39" s="45"/>
      <c r="J39" s="45"/>
      <c r="K39" s="45"/>
      <c r="L39" s="45"/>
      <c r="M39" s="45"/>
      <c r="N39" s="45"/>
      <c r="O39" s="45"/>
      <c r="P39" s="45"/>
      <c r="Q39" s="45"/>
      <c r="R39" s="45"/>
      <c r="S39" s="45"/>
      <c r="T39" s="264"/>
      <c r="U39" s="974" t="s">
        <v>270</v>
      </c>
      <c r="V39" s="974"/>
      <c r="W39" s="974"/>
      <c r="X39" s="974"/>
      <c r="Y39" s="974"/>
      <c r="Z39" s="974"/>
      <c r="AA39" s="974"/>
      <c r="AB39" s="974"/>
      <c r="AC39" s="974"/>
      <c r="AD39" s="974"/>
      <c r="AE39" s="975">
        <f>((AE27*(AE38^3))/3)+AE36*AE37*(AE29-AE38)^2</f>
        <v>2442381157.7906599</v>
      </c>
      <c r="AF39" s="975"/>
      <c r="AG39" s="975"/>
      <c r="AH39" s="975"/>
      <c r="AI39" s="816" t="s">
        <v>258</v>
      </c>
      <c r="AJ39" s="729"/>
      <c r="AK39" s="729"/>
      <c r="AL39" s="755"/>
      <c r="AM39" s="45"/>
      <c r="AO39" s="45"/>
      <c r="AP39" s="45"/>
      <c r="AQ39" s="45"/>
      <c r="AR39" s="45"/>
      <c r="AS39" s="45"/>
      <c r="AT39" s="45"/>
      <c r="AU39" s="45"/>
      <c r="AV39" s="45"/>
      <c r="AW39" s="45"/>
      <c r="AX39" s="45"/>
      <c r="AY39" s="45"/>
      <c r="AZ39" s="45"/>
      <c r="BA39" s="45"/>
      <c r="BB39" s="45"/>
      <c r="BC39" s="45"/>
      <c r="BD39" s="45"/>
      <c r="BE39" s="45"/>
      <c r="BF39" s="45"/>
      <c r="BG39" s="264"/>
      <c r="BH39" s="974" t="s">
        <v>270</v>
      </c>
      <c r="BI39" s="974"/>
      <c r="BJ39" s="974"/>
      <c r="BK39" s="974"/>
      <c r="BL39" s="974"/>
      <c r="BM39" s="974"/>
      <c r="BN39" s="974"/>
      <c r="BO39" s="974"/>
      <c r="BP39" s="974"/>
      <c r="BQ39" s="974"/>
      <c r="BR39" s="975">
        <f>((BR27*(BR38^3))/3)+BR36*BR37*(BR29-BR38)^2</f>
        <v>2295242034.8855324</v>
      </c>
      <c r="BS39" s="975"/>
      <c r="BT39" s="975"/>
      <c r="BU39" s="975"/>
      <c r="BV39" s="816" t="s">
        <v>258</v>
      </c>
      <c r="BW39" s="729"/>
      <c r="BX39" s="729"/>
      <c r="BY39" s="755"/>
      <c r="BZ39" s="45"/>
      <c r="CB39" s="45"/>
      <c r="CC39" s="45"/>
      <c r="CD39" s="45"/>
      <c r="CE39" s="45"/>
      <c r="CF39" s="45"/>
      <c r="CG39" s="45"/>
      <c r="CH39" s="45"/>
      <c r="CI39" s="45"/>
      <c r="CJ39" s="45"/>
      <c r="CK39" s="45"/>
      <c r="CL39" s="45"/>
      <c r="CM39" s="45"/>
      <c r="CN39" s="45"/>
      <c r="CO39" s="45"/>
      <c r="CP39" s="45"/>
      <c r="CQ39" s="45"/>
      <c r="CR39" s="45"/>
      <c r="CS39" s="45"/>
      <c r="CT39" s="264"/>
      <c r="CU39" s="974" t="s">
        <v>270</v>
      </c>
      <c r="CV39" s="974"/>
      <c r="CW39" s="974"/>
      <c r="CX39" s="974"/>
      <c r="CY39" s="974"/>
      <c r="CZ39" s="974"/>
      <c r="DA39" s="974"/>
      <c r="DB39" s="974"/>
      <c r="DC39" s="974"/>
      <c r="DD39" s="974"/>
      <c r="DE39" s="975">
        <f>((DE27*(DE38^3))/3)+DE36*DE37*(DE29-DE38)^2</f>
        <v>2295242034.8855324</v>
      </c>
      <c r="DF39" s="975"/>
      <c r="DG39" s="975"/>
      <c r="DH39" s="975"/>
      <c r="DI39" s="816" t="s">
        <v>258</v>
      </c>
      <c r="DJ39" s="729"/>
      <c r="DK39" s="729"/>
      <c r="DL39" s="755"/>
      <c r="DM39" s="45"/>
      <c r="DO39" s="45"/>
      <c r="DP39" s="45"/>
      <c r="DQ39" s="45"/>
      <c r="DR39" s="45"/>
      <c r="DS39" s="45"/>
      <c r="DT39" s="45"/>
      <c r="DU39" s="45"/>
      <c r="DV39" s="45"/>
      <c r="DW39" s="45"/>
      <c r="DX39" s="45"/>
      <c r="DY39" s="45"/>
      <c r="DZ39" s="45"/>
      <c r="EA39" s="45"/>
      <c r="EB39" s="45"/>
      <c r="EC39" s="45"/>
      <c r="ED39" s="45"/>
      <c r="EE39" s="45"/>
      <c r="EF39" s="45"/>
      <c r="EG39" s="264"/>
      <c r="EH39" s="974" t="s">
        <v>270</v>
      </c>
      <c r="EI39" s="974"/>
      <c r="EJ39" s="974"/>
      <c r="EK39" s="974"/>
      <c r="EL39" s="974"/>
      <c r="EM39" s="974"/>
      <c r="EN39" s="974"/>
      <c r="EO39" s="974"/>
      <c r="EP39" s="974"/>
      <c r="EQ39" s="974"/>
      <c r="ER39" s="975">
        <f>((ER27*(ER38^3))/3)+ER36*ER37*(ER29-ER38)^2</f>
        <v>3114938985.837358</v>
      </c>
      <c r="ES39" s="975"/>
      <c r="ET39" s="975"/>
      <c r="EU39" s="975"/>
      <c r="EV39" s="816" t="s">
        <v>258</v>
      </c>
      <c r="EW39" s="729"/>
      <c r="EX39" s="729"/>
      <c r="EY39" s="755"/>
      <c r="EZ39" s="45"/>
    </row>
    <row r="40" spans="1:156" x14ac:dyDescent="0.35">
      <c r="U40" s="970" t="s">
        <v>271</v>
      </c>
      <c r="V40" s="970"/>
      <c r="W40" s="970"/>
      <c r="X40" s="970"/>
      <c r="Y40" s="970"/>
      <c r="Z40" s="970"/>
      <c r="AA40" s="970"/>
      <c r="AB40" s="970"/>
      <c r="AC40" s="970"/>
      <c r="AD40" s="970"/>
      <c r="AE40" s="976">
        <f>(AE36*(AE26*10^6*(AE29-AE38)))/AE39</f>
        <v>92.733215796556948</v>
      </c>
      <c r="AF40" s="976"/>
      <c r="AG40" s="976"/>
      <c r="AH40" s="976"/>
      <c r="AI40" s="772" t="s">
        <v>63</v>
      </c>
      <c r="AJ40" s="720"/>
      <c r="AK40" s="720"/>
      <c r="AL40" s="972"/>
      <c r="AM40" s="45"/>
      <c r="BH40" s="970" t="s">
        <v>271</v>
      </c>
      <c r="BI40" s="970"/>
      <c r="BJ40" s="970"/>
      <c r="BK40" s="970"/>
      <c r="BL40" s="970"/>
      <c r="BM40" s="970"/>
      <c r="BN40" s="970"/>
      <c r="BO40" s="970"/>
      <c r="BP40" s="970"/>
      <c r="BQ40" s="970"/>
      <c r="BR40" s="976">
        <f>(BR36*(BR26*10^6*(BR29-BR38)))/BR39</f>
        <v>13.235451186616757</v>
      </c>
      <c r="BS40" s="976"/>
      <c r="BT40" s="976"/>
      <c r="BU40" s="976"/>
      <c r="BV40" s="772" t="s">
        <v>63</v>
      </c>
      <c r="BW40" s="720"/>
      <c r="BX40" s="720"/>
      <c r="BY40" s="972"/>
      <c r="BZ40" s="45"/>
      <c r="CU40" s="970" t="s">
        <v>271</v>
      </c>
      <c r="CV40" s="970"/>
      <c r="CW40" s="970"/>
      <c r="CX40" s="970"/>
      <c r="CY40" s="970"/>
      <c r="CZ40" s="970"/>
      <c r="DA40" s="970"/>
      <c r="DB40" s="970"/>
      <c r="DC40" s="970"/>
      <c r="DD40" s="970"/>
      <c r="DE40" s="976">
        <f>(DE36*(DE26*10^6*(DE29-DE38)))/DE39</f>
        <v>39.874498557758827</v>
      </c>
      <c r="DF40" s="976"/>
      <c r="DG40" s="976"/>
      <c r="DH40" s="976"/>
      <c r="DI40" s="772" t="s">
        <v>63</v>
      </c>
      <c r="DJ40" s="720"/>
      <c r="DK40" s="720"/>
      <c r="DL40" s="972"/>
      <c r="DM40" s="45"/>
      <c r="EH40" s="970" t="s">
        <v>271</v>
      </c>
      <c r="EI40" s="970"/>
      <c r="EJ40" s="970"/>
      <c r="EK40" s="970"/>
      <c r="EL40" s="970"/>
      <c r="EM40" s="970"/>
      <c r="EN40" s="970"/>
      <c r="EO40" s="970"/>
      <c r="EP40" s="970"/>
      <c r="EQ40" s="970"/>
      <c r="ER40" s="976">
        <f>(ER36*(ER26*10^6*(ER29-ER38)))/ER39</f>
        <v>39.98339408621365</v>
      </c>
      <c r="ES40" s="976"/>
      <c r="ET40" s="976"/>
      <c r="EU40" s="976"/>
      <c r="EV40" s="772" t="s">
        <v>63</v>
      </c>
      <c r="EW40" s="720"/>
      <c r="EX40" s="720"/>
      <c r="EY40" s="972"/>
      <c r="EZ40" s="45"/>
    </row>
    <row r="41" spans="1:156" x14ac:dyDescent="0.35">
      <c r="B41" s="45"/>
      <c r="C41" s="45"/>
      <c r="D41" s="45"/>
      <c r="E41" s="45"/>
      <c r="F41" s="45"/>
      <c r="G41" s="45"/>
      <c r="H41" s="45"/>
      <c r="I41" s="45"/>
      <c r="J41" s="45"/>
      <c r="K41" s="45"/>
      <c r="L41" s="45"/>
      <c r="M41" s="45"/>
      <c r="N41" s="45"/>
      <c r="O41" s="45"/>
      <c r="P41" s="45"/>
      <c r="Q41" s="45"/>
      <c r="R41" s="45"/>
      <c r="S41" s="45"/>
      <c r="T41" s="45"/>
      <c r="U41" s="970" t="s">
        <v>272</v>
      </c>
      <c r="V41" s="970"/>
      <c r="W41" s="970"/>
      <c r="X41" s="970"/>
      <c r="Y41" s="970"/>
      <c r="Z41" s="970"/>
      <c r="AA41" s="970"/>
      <c r="AB41" s="970"/>
      <c r="AC41" s="970"/>
      <c r="AD41" s="970"/>
      <c r="AE41" s="973" t="str">
        <f>IF(AE40&lt;Z13,"Safe","Not Safe")</f>
        <v>Safe</v>
      </c>
      <c r="AF41" s="973"/>
      <c r="AG41" s="973"/>
      <c r="AH41" s="973"/>
      <c r="AI41" s="772"/>
      <c r="AJ41" s="720"/>
      <c r="AK41" s="720"/>
      <c r="AL41" s="972"/>
      <c r="AM41" s="45"/>
      <c r="AO41" s="45"/>
      <c r="AP41" s="45"/>
      <c r="AQ41" s="45"/>
      <c r="AR41" s="45"/>
      <c r="AS41" s="45"/>
      <c r="AT41" s="45"/>
      <c r="AU41" s="45"/>
      <c r="AV41" s="45"/>
      <c r="AW41" s="45"/>
      <c r="AX41" s="45"/>
      <c r="AY41" s="45"/>
      <c r="AZ41" s="45"/>
      <c r="BA41" s="45"/>
      <c r="BB41" s="45"/>
      <c r="BC41" s="45"/>
      <c r="BD41" s="45"/>
      <c r="BE41" s="45"/>
      <c r="BF41" s="45"/>
      <c r="BG41" s="45"/>
      <c r="BH41" s="970" t="s">
        <v>272</v>
      </c>
      <c r="BI41" s="970"/>
      <c r="BJ41" s="970"/>
      <c r="BK41" s="970"/>
      <c r="BL41" s="970"/>
      <c r="BM41" s="970"/>
      <c r="BN41" s="970"/>
      <c r="BO41" s="970"/>
      <c r="BP41" s="970"/>
      <c r="BQ41" s="970"/>
      <c r="BR41" s="973" t="str">
        <f>IF(BR40&lt;BM13,"Safe","Not Safe")</f>
        <v>Safe</v>
      </c>
      <c r="BS41" s="973"/>
      <c r="BT41" s="973"/>
      <c r="BU41" s="973"/>
      <c r="BV41" s="772"/>
      <c r="BW41" s="720"/>
      <c r="BX41" s="720"/>
      <c r="BY41" s="972"/>
      <c r="BZ41" s="45"/>
      <c r="CB41" s="45"/>
      <c r="CC41" s="45"/>
      <c r="CD41" s="45"/>
      <c r="CE41" s="45"/>
      <c r="CF41" s="45"/>
      <c r="CG41" s="45"/>
      <c r="CH41" s="45"/>
      <c r="CI41" s="45"/>
      <c r="CJ41" s="45"/>
      <c r="CK41" s="45"/>
      <c r="CL41" s="45"/>
      <c r="CM41" s="45"/>
      <c r="CN41" s="45"/>
      <c r="CO41" s="45"/>
      <c r="CP41" s="45"/>
      <c r="CQ41" s="45"/>
      <c r="CR41" s="45"/>
      <c r="CS41" s="45"/>
      <c r="CT41" s="45"/>
      <c r="CU41" s="970" t="s">
        <v>272</v>
      </c>
      <c r="CV41" s="970"/>
      <c r="CW41" s="970"/>
      <c r="CX41" s="970"/>
      <c r="CY41" s="970"/>
      <c r="CZ41" s="970"/>
      <c r="DA41" s="970"/>
      <c r="DB41" s="970"/>
      <c r="DC41" s="970"/>
      <c r="DD41" s="970"/>
      <c r="DE41" s="973" t="str">
        <f>IF(DE40&lt;CZ13,"Safe","Not Safe")</f>
        <v>Safe</v>
      </c>
      <c r="DF41" s="973"/>
      <c r="DG41" s="973"/>
      <c r="DH41" s="973"/>
      <c r="DI41" s="772"/>
      <c r="DJ41" s="720"/>
      <c r="DK41" s="720"/>
      <c r="DL41" s="972"/>
      <c r="DM41" s="45"/>
      <c r="DO41" s="45"/>
      <c r="DP41" s="45"/>
      <c r="DQ41" s="45"/>
      <c r="DR41" s="45"/>
      <c r="DS41" s="45"/>
      <c r="DT41" s="45"/>
      <c r="DU41" s="45"/>
      <c r="DV41" s="45"/>
      <c r="DW41" s="45"/>
      <c r="DX41" s="45"/>
      <c r="DY41" s="45"/>
      <c r="DZ41" s="45"/>
      <c r="EA41" s="45"/>
      <c r="EB41" s="45"/>
      <c r="EC41" s="45"/>
      <c r="ED41" s="45"/>
      <c r="EE41" s="45"/>
      <c r="EF41" s="45"/>
      <c r="EG41" s="45"/>
      <c r="EH41" s="970" t="s">
        <v>272</v>
      </c>
      <c r="EI41" s="970"/>
      <c r="EJ41" s="970"/>
      <c r="EK41" s="970"/>
      <c r="EL41" s="970"/>
      <c r="EM41" s="970"/>
      <c r="EN41" s="970"/>
      <c r="EO41" s="970"/>
      <c r="EP41" s="970"/>
      <c r="EQ41" s="970"/>
      <c r="ER41" s="973" t="str">
        <f>IF(ER40&lt;EM13,"Safe","Not Safe")</f>
        <v>Safe</v>
      </c>
      <c r="ES41" s="973"/>
      <c r="ET41" s="973"/>
      <c r="EU41" s="973"/>
      <c r="EV41" s="772"/>
      <c r="EW41" s="720"/>
      <c r="EX41" s="720"/>
      <c r="EY41" s="972"/>
      <c r="EZ41" s="45"/>
    </row>
    <row r="42" spans="1:156" x14ac:dyDescent="0.35">
      <c r="B42" s="45"/>
      <c r="C42" s="45"/>
      <c r="D42" s="45"/>
      <c r="E42" s="45"/>
      <c r="F42" s="45"/>
      <c r="G42" s="45"/>
      <c r="H42" s="45"/>
      <c r="I42" s="45"/>
      <c r="J42" s="45"/>
      <c r="K42" s="45"/>
      <c r="L42" s="45"/>
      <c r="M42" s="45"/>
      <c r="N42" s="45"/>
      <c r="O42" s="45"/>
      <c r="P42" s="45"/>
      <c r="Q42" s="45"/>
      <c r="R42" s="45"/>
      <c r="S42" s="45"/>
      <c r="T42" s="45"/>
      <c r="U42" s="970" t="s">
        <v>273</v>
      </c>
      <c r="V42" s="970"/>
      <c r="W42" s="970"/>
      <c r="X42" s="970"/>
      <c r="Y42" s="970"/>
      <c r="Z42" s="970"/>
      <c r="AA42" s="970"/>
      <c r="AB42" s="970"/>
      <c r="AC42" s="970"/>
      <c r="AD42" s="970"/>
      <c r="AE42" s="971">
        <f>((AE26*10^6)*AE38)/AE39</f>
        <v>1.2458683686118037</v>
      </c>
      <c r="AF42" s="971"/>
      <c r="AG42" s="971"/>
      <c r="AH42" s="971"/>
      <c r="AI42" s="772" t="s">
        <v>63</v>
      </c>
      <c r="AJ42" s="720"/>
      <c r="AK42" s="720"/>
      <c r="AL42" s="972"/>
      <c r="AM42" s="45"/>
      <c r="AO42" s="45"/>
      <c r="AP42" s="45"/>
      <c r="AQ42" s="45"/>
      <c r="AR42" s="45"/>
      <c r="AS42" s="45"/>
      <c r="AT42" s="45"/>
      <c r="AU42" s="45"/>
      <c r="AV42" s="45"/>
      <c r="AW42" s="45"/>
      <c r="AX42" s="45"/>
      <c r="AY42" s="45"/>
      <c r="AZ42" s="45"/>
      <c r="BA42" s="45"/>
      <c r="BB42" s="45"/>
      <c r="BC42" s="45"/>
      <c r="BD42" s="45"/>
      <c r="BE42" s="45"/>
      <c r="BF42" s="45"/>
      <c r="BG42" s="45"/>
      <c r="BH42" s="970" t="s">
        <v>273</v>
      </c>
      <c r="BI42" s="970"/>
      <c r="BJ42" s="970"/>
      <c r="BK42" s="970"/>
      <c r="BL42" s="970"/>
      <c r="BM42" s="970"/>
      <c r="BN42" s="970"/>
      <c r="BO42" s="970"/>
      <c r="BP42" s="970"/>
      <c r="BQ42" s="970"/>
      <c r="BR42" s="971">
        <f>((BR26*10^6)*BR38)/BR39</f>
        <v>0.13496004633570519</v>
      </c>
      <c r="BS42" s="971"/>
      <c r="BT42" s="971"/>
      <c r="BU42" s="971"/>
      <c r="BV42" s="772" t="s">
        <v>63</v>
      </c>
      <c r="BW42" s="720"/>
      <c r="BX42" s="720"/>
      <c r="BY42" s="972"/>
      <c r="BZ42" s="45"/>
      <c r="CB42" s="45"/>
      <c r="CC42" s="45"/>
      <c r="CD42" s="45"/>
      <c r="CE42" s="45"/>
      <c r="CF42" s="45"/>
      <c r="CG42" s="45"/>
      <c r="CH42" s="45"/>
      <c r="CI42" s="45"/>
      <c r="CJ42" s="45"/>
      <c r="CK42" s="45"/>
      <c r="CL42" s="45"/>
      <c r="CM42" s="45"/>
      <c r="CN42" s="45"/>
      <c r="CO42" s="45"/>
      <c r="CP42" s="45"/>
      <c r="CQ42" s="45"/>
      <c r="CR42" s="45"/>
      <c r="CS42" s="45"/>
      <c r="CT42" s="45"/>
      <c r="CU42" s="970" t="s">
        <v>273</v>
      </c>
      <c r="CV42" s="970"/>
      <c r="CW42" s="970"/>
      <c r="CX42" s="970"/>
      <c r="CY42" s="970"/>
      <c r="CZ42" s="970"/>
      <c r="DA42" s="970"/>
      <c r="DB42" s="970"/>
      <c r="DC42" s="970"/>
      <c r="DD42" s="970"/>
      <c r="DE42" s="971">
        <f>((DE26*10^6)*DE38)/DE39</f>
        <v>0.40659469005557575</v>
      </c>
      <c r="DF42" s="971"/>
      <c r="DG42" s="971"/>
      <c r="DH42" s="971"/>
      <c r="DI42" s="772" t="s">
        <v>63</v>
      </c>
      <c r="DJ42" s="720"/>
      <c r="DK42" s="720"/>
      <c r="DL42" s="972"/>
      <c r="DM42" s="45"/>
      <c r="DO42" s="45"/>
      <c r="DP42" s="45"/>
      <c r="DQ42" s="45"/>
      <c r="DR42" s="45"/>
      <c r="DS42" s="45"/>
      <c r="DT42" s="45"/>
      <c r="DU42" s="45"/>
      <c r="DV42" s="45"/>
      <c r="DW42" s="45"/>
      <c r="DX42" s="45"/>
      <c r="DY42" s="45"/>
      <c r="DZ42" s="45"/>
      <c r="EA42" s="45"/>
      <c r="EB42" s="45"/>
      <c r="EC42" s="45"/>
      <c r="ED42" s="45"/>
      <c r="EE42" s="45"/>
      <c r="EF42" s="45"/>
      <c r="EG42" s="45"/>
      <c r="EH42" s="970" t="s">
        <v>273</v>
      </c>
      <c r="EI42" s="970"/>
      <c r="EJ42" s="970"/>
      <c r="EK42" s="970"/>
      <c r="EL42" s="970"/>
      <c r="EM42" s="970"/>
      <c r="EN42" s="970"/>
      <c r="EO42" s="970"/>
      <c r="EP42" s="970"/>
      <c r="EQ42" s="970"/>
      <c r="ER42" s="971">
        <f>((ER26*10^6)*ER38)/ER39</f>
        <v>0.50010493551334056</v>
      </c>
      <c r="ES42" s="971"/>
      <c r="ET42" s="971"/>
      <c r="EU42" s="971"/>
      <c r="EV42" s="772" t="s">
        <v>63</v>
      </c>
      <c r="EW42" s="720"/>
      <c r="EX42" s="720"/>
      <c r="EY42" s="972"/>
      <c r="EZ42" s="45"/>
    </row>
    <row r="43" spans="1:156" x14ac:dyDescent="0.35">
      <c r="B43" s="45"/>
      <c r="C43" s="45"/>
      <c r="D43" s="45"/>
      <c r="E43" s="45"/>
      <c r="F43" s="45"/>
      <c r="G43" s="45"/>
      <c r="H43" s="45"/>
      <c r="I43" s="45"/>
      <c r="J43" s="45"/>
      <c r="K43" s="45"/>
      <c r="L43" s="45"/>
      <c r="M43" s="45"/>
      <c r="N43" s="45"/>
      <c r="O43" s="45"/>
      <c r="P43" s="45"/>
      <c r="Q43" s="45"/>
      <c r="R43" s="45"/>
      <c r="S43" s="45"/>
      <c r="T43" s="45"/>
      <c r="U43" s="970" t="s">
        <v>274</v>
      </c>
      <c r="V43" s="970"/>
      <c r="W43" s="970"/>
      <c r="X43" s="970"/>
      <c r="Y43" s="970"/>
      <c r="Z43" s="970"/>
      <c r="AA43" s="970"/>
      <c r="AB43" s="970"/>
      <c r="AC43" s="970"/>
      <c r="AD43" s="970"/>
      <c r="AE43" s="973" t="str">
        <f>IF(AE42&lt;Z12,"Safe","Not Safe")</f>
        <v>Safe</v>
      </c>
      <c r="AF43" s="973"/>
      <c r="AG43" s="973"/>
      <c r="AH43" s="973"/>
      <c r="AI43" s="772"/>
      <c r="AJ43" s="720"/>
      <c r="AK43" s="720"/>
      <c r="AL43" s="972"/>
      <c r="AM43" s="45"/>
      <c r="AO43" s="45"/>
      <c r="AP43" s="45"/>
      <c r="AQ43" s="45"/>
      <c r="AR43" s="45"/>
      <c r="AS43" s="45"/>
      <c r="AT43" s="45"/>
      <c r="AU43" s="45"/>
      <c r="AV43" s="45"/>
      <c r="AW43" s="45"/>
      <c r="AX43" s="45"/>
      <c r="AY43" s="45"/>
      <c r="AZ43" s="45"/>
      <c r="BA43" s="45"/>
      <c r="BB43" s="45"/>
      <c r="BC43" s="45"/>
      <c r="BD43" s="45"/>
      <c r="BE43" s="45"/>
      <c r="BF43" s="45"/>
      <c r="BG43" s="45"/>
      <c r="BH43" s="970" t="s">
        <v>274</v>
      </c>
      <c r="BI43" s="970"/>
      <c r="BJ43" s="970"/>
      <c r="BK43" s="970"/>
      <c r="BL43" s="970"/>
      <c r="BM43" s="970"/>
      <c r="BN43" s="970"/>
      <c r="BO43" s="970"/>
      <c r="BP43" s="970"/>
      <c r="BQ43" s="970"/>
      <c r="BR43" s="973" t="str">
        <f>IF(BR42&lt;BM12,"Safe","Not Safe")</f>
        <v>Safe</v>
      </c>
      <c r="BS43" s="973"/>
      <c r="BT43" s="973"/>
      <c r="BU43" s="973"/>
      <c r="BV43" s="772"/>
      <c r="BW43" s="720"/>
      <c r="BX43" s="720"/>
      <c r="BY43" s="972"/>
      <c r="BZ43" s="45"/>
      <c r="CB43" s="45"/>
      <c r="CC43" s="45"/>
      <c r="CD43" s="45"/>
      <c r="CE43" s="45"/>
      <c r="CF43" s="45"/>
      <c r="CG43" s="45"/>
      <c r="CH43" s="45"/>
      <c r="CI43" s="45"/>
      <c r="CJ43" s="45"/>
      <c r="CK43" s="45"/>
      <c r="CL43" s="45"/>
      <c r="CM43" s="45"/>
      <c r="CN43" s="45"/>
      <c r="CO43" s="45"/>
      <c r="CP43" s="45"/>
      <c r="CQ43" s="45"/>
      <c r="CR43" s="45"/>
      <c r="CS43" s="45"/>
      <c r="CT43" s="45"/>
      <c r="CU43" s="970" t="s">
        <v>274</v>
      </c>
      <c r="CV43" s="970"/>
      <c r="CW43" s="970"/>
      <c r="CX43" s="970"/>
      <c r="CY43" s="970"/>
      <c r="CZ43" s="970"/>
      <c r="DA43" s="970"/>
      <c r="DB43" s="970"/>
      <c r="DC43" s="970"/>
      <c r="DD43" s="970"/>
      <c r="DE43" s="973" t="str">
        <f>IF(DE42&lt;CZ12,"Safe","Not Safe")</f>
        <v>Safe</v>
      </c>
      <c r="DF43" s="973"/>
      <c r="DG43" s="973"/>
      <c r="DH43" s="973"/>
      <c r="DI43" s="772"/>
      <c r="DJ43" s="720"/>
      <c r="DK43" s="720"/>
      <c r="DL43" s="972"/>
      <c r="DM43" s="45"/>
      <c r="DO43" s="45"/>
      <c r="DP43" s="45"/>
      <c r="DQ43" s="45"/>
      <c r="DR43" s="45"/>
      <c r="DS43" s="45"/>
      <c r="DT43" s="45"/>
      <c r="DU43" s="45"/>
      <c r="DV43" s="45"/>
      <c r="DW43" s="45"/>
      <c r="DX43" s="45"/>
      <c r="DY43" s="45"/>
      <c r="DZ43" s="45"/>
      <c r="EA43" s="45"/>
      <c r="EB43" s="45"/>
      <c r="EC43" s="45"/>
      <c r="ED43" s="45"/>
      <c r="EE43" s="45"/>
      <c r="EF43" s="45"/>
      <c r="EG43" s="45"/>
      <c r="EH43" s="970" t="s">
        <v>274</v>
      </c>
      <c r="EI43" s="970"/>
      <c r="EJ43" s="970"/>
      <c r="EK43" s="970"/>
      <c r="EL43" s="970"/>
      <c r="EM43" s="970"/>
      <c r="EN43" s="970"/>
      <c r="EO43" s="970"/>
      <c r="EP43" s="970"/>
      <c r="EQ43" s="970"/>
      <c r="ER43" s="973" t="str">
        <f>IF(ER42&lt;EM12,"Safe","Not Safe")</f>
        <v>Safe</v>
      </c>
      <c r="ES43" s="973"/>
      <c r="ET43" s="973"/>
      <c r="EU43" s="973"/>
      <c r="EV43" s="772"/>
      <c r="EW43" s="720"/>
      <c r="EX43" s="720"/>
      <c r="EY43" s="972"/>
      <c r="EZ43" s="45"/>
    </row>
    <row r="47" spans="1:156" x14ac:dyDescent="0.35">
      <c r="A47" s="45"/>
      <c r="B47" s="45"/>
      <c r="C47" s="281" t="s">
        <v>340</v>
      </c>
      <c r="E47" s="45"/>
      <c r="F47" s="45"/>
      <c r="G47" s="45"/>
      <c r="H47" s="45"/>
      <c r="I47" s="45"/>
      <c r="J47" s="45"/>
      <c r="K47" s="45"/>
      <c r="L47" s="45"/>
      <c r="M47" s="45"/>
      <c r="N47" s="45"/>
      <c r="O47" s="45"/>
      <c r="P47" s="45"/>
      <c r="Q47" s="45"/>
      <c r="R47" s="45"/>
      <c r="S47" s="45"/>
      <c r="T47" s="45"/>
      <c r="U47" s="45"/>
      <c r="V47" s="45"/>
      <c r="W47" s="45"/>
      <c r="X47" s="45"/>
      <c r="Y47" s="45"/>
      <c r="Z47" s="45"/>
      <c r="AA47" s="45"/>
      <c r="AB47" s="45"/>
      <c r="AC47" s="45"/>
      <c r="AD47" s="45"/>
      <c r="AE47" s="45"/>
      <c r="AF47" s="45"/>
      <c r="AG47" s="45"/>
      <c r="AH47" s="45"/>
      <c r="AI47" s="45"/>
      <c r="AJ47" s="45"/>
      <c r="AN47" s="45"/>
      <c r="AO47" s="45"/>
      <c r="AP47" s="281" t="s">
        <v>340</v>
      </c>
      <c r="AR47" s="45"/>
      <c r="AS47" s="45"/>
      <c r="AT47" s="45"/>
      <c r="AU47" s="45"/>
      <c r="AV47" s="45"/>
      <c r="AW47" s="45"/>
      <c r="AX47" s="45"/>
      <c r="AY47" s="45"/>
      <c r="AZ47" s="45"/>
      <c r="BA47" s="45"/>
      <c r="BB47" s="45"/>
      <c r="BC47" s="45"/>
      <c r="BD47" s="45"/>
      <c r="BE47" s="45"/>
      <c r="BF47" s="45"/>
      <c r="BG47" s="45"/>
      <c r="BH47" s="45"/>
      <c r="BI47" s="45"/>
      <c r="BJ47" s="45"/>
      <c r="BK47" s="45"/>
      <c r="BL47" s="45"/>
      <c r="BM47" s="45"/>
      <c r="BN47" s="45"/>
      <c r="BO47" s="45"/>
      <c r="BP47" s="45"/>
      <c r="BQ47" s="45"/>
      <c r="BR47" s="45"/>
      <c r="BS47" s="45"/>
      <c r="BT47" s="45"/>
      <c r="BU47" s="45"/>
      <c r="BV47" s="45"/>
      <c r="BW47" s="45"/>
      <c r="CA47" s="45"/>
      <c r="CB47" s="45"/>
      <c r="CC47" s="281" t="s">
        <v>340</v>
      </c>
      <c r="CE47" s="45"/>
      <c r="CF47" s="45"/>
      <c r="CG47" s="45"/>
      <c r="CH47" s="45"/>
      <c r="CI47" s="45"/>
      <c r="CJ47" s="45"/>
      <c r="CK47" s="45"/>
      <c r="CL47" s="45"/>
      <c r="CM47" s="45"/>
      <c r="CN47" s="45"/>
      <c r="CO47" s="45"/>
      <c r="CP47" s="45"/>
      <c r="CQ47" s="45"/>
      <c r="CR47" s="45"/>
      <c r="CS47" s="45"/>
      <c r="CT47" s="45"/>
      <c r="CU47" s="45"/>
      <c r="CV47" s="45"/>
      <c r="CW47" s="45"/>
      <c r="CX47" s="45"/>
      <c r="CY47" s="45"/>
      <c r="CZ47" s="45"/>
      <c r="DA47" s="45"/>
      <c r="DB47" s="45"/>
      <c r="DC47" s="45"/>
      <c r="DD47" s="45"/>
      <c r="DE47" s="45"/>
      <c r="DF47" s="45"/>
      <c r="DG47" s="45"/>
      <c r="DH47" s="45"/>
      <c r="DI47" s="45"/>
      <c r="DJ47" s="45"/>
      <c r="DN47" s="45"/>
      <c r="DO47" s="45"/>
      <c r="DP47" s="281" t="s">
        <v>340</v>
      </c>
      <c r="DR47" s="45"/>
      <c r="DS47" s="45"/>
      <c r="DT47" s="45"/>
      <c r="DU47" s="45"/>
      <c r="DV47" s="45"/>
      <c r="DW47" s="45"/>
      <c r="DX47" s="45"/>
      <c r="DY47" s="45"/>
      <c r="DZ47" s="45"/>
      <c r="EA47" s="45"/>
      <c r="EB47" s="45"/>
      <c r="EC47" s="45"/>
      <c r="ED47" s="45"/>
      <c r="EE47" s="45"/>
      <c r="EF47" s="45"/>
      <c r="EG47" s="45"/>
      <c r="EH47" s="45"/>
      <c r="EI47" s="45"/>
      <c r="EJ47" s="45"/>
      <c r="EK47" s="45"/>
      <c r="EL47" s="45"/>
      <c r="EM47" s="45"/>
      <c r="EN47" s="45"/>
      <c r="EO47" s="45"/>
      <c r="EP47" s="45"/>
      <c r="EQ47" s="45"/>
      <c r="ER47" s="45"/>
      <c r="ES47" s="45"/>
      <c r="ET47" s="45"/>
      <c r="EU47" s="45"/>
      <c r="EV47" s="45"/>
      <c r="EW47" s="45"/>
    </row>
    <row r="48" spans="1:156" ht="17" x14ac:dyDescent="0.45">
      <c r="A48" s="45"/>
      <c r="B48" s="45"/>
      <c r="C48" s="45" t="s">
        <v>283</v>
      </c>
      <c r="E48" s="45"/>
      <c r="F48" s="45"/>
      <c r="G48" s="45"/>
      <c r="H48" s="45"/>
      <c r="I48" s="45"/>
      <c r="J48" s="45"/>
      <c r="K48" s="45"/>
      <c r="L48" s="45"/>
      <c r="M48" s="45"/>
      <c r="N48" s="45"/>
      <c r="O48" s="45"/>
      <c r="P48" s="45"/>
      <c r="Q48" s="45"/>
      <c r="R48" s="45"/>
      <c r="S48" s="45"/>
      <c r="T48" s="45"/>
      <c r="U48" s="45"/>
      <c r="V48" s="45"/>
      <c r="W48" s="45"/>
      <c r="X48" s="45"/>
      <c r="Y48" s="45"/>
      <c r="Z48" s="45"/>
      <c r="AA48" s="45"/>
      <c r="AB48" s="45"/>
      <c r="AC48" s="45"/>
      <c r="AD48" s="45"/>
      <c r="AE48" s="45"/>
      <c r="AF48" s="45"/>
      <c r="AG48" s="45"/>
      <c r="AH48" s="45"/>
      <c r="AI48" s="45"/>
      <c r="AJ48" s="45"/>
      <c r="AN48" s="45"/>
      <c r="AO48" s="45"/>
      <c r="AP48" s="45" t="s">
        <v>283</v>
      </c>
      <c r="AR48" s="45"/>
      <c r="AS48" s="45"/>
      <c r="AT48" s="45"/>
      <c r="AU48" s="45"/>
      <c r="AV48" s="45"/>
      <c r="AW48" s="45"/>
      <c r="AX48" s="45"/>
      <c r="AY48" s="45"/>
      <c r="AZ48" s="45"/>
      <c r="BA48" s="45"/>
      <c r="BB48" s="45"/>
      <c r="BC48" s="45"/>
      <c r="BD48" s="45"/>
      <c r="BE48" s="45"/>
      <c r="BF48" s="45"/>
      <c r="BG48" s="45"/>
      <c r="BH48" s="45"/>
      <c r="BI48" s="45"/>
      <c r="BJ48" s="45"/>
      <c r="BK48" s="45"/>
      <c r="BL48" s="45"/>
      <c r="BM48" s="45"/>
      <c r="BN48" s="45"/>
      <c r="BO48" s="45"/>
      <c r="BP48" s="45"/>
      <c r="BQ48" s="45"/>
      <c r="BR48" s="45"/>
      <c r="BS48" s="45"/>
      <c r="BT48" s="45"/>
      <c r="BU48" s="45"/>
      <c r="BV48" s="45"/>
      <c r="BW48" s="45"/>
      <c r="CA48" s="45"/>
      <c r="CB48" s="45"/>
      <c r="CC48" s="45" t="s">
        <v>283</v>
      </c>
      <c r="CE48" s="45"/>
      <c r="CF48" s="45"/>
      <c r="CG48" s="45"/>
      <c r="CH48" s="45"/>
      <c r="CI48" s="45"/>
      <c r="CJ48" s="45"/>
      <c r="CK48" s="45"/>
      <c r="CL48" s="45"/>
      <c r="CM48" s="45"/>
      <c r="CN48" s="45"/>
      <c r="CO48" s="45"/>
      <c r="CP48" s="45"/>
      <c r="CQ48" s="45"/>
      <c r="CR48" s="45"/>
      <c r="CS48" s="45"/>
      <c r="CT48" s="45"/>
      <c r="CU48" s="45"/>
      <c r="CV48" s="45"/>
      <c r="CW48" s="45"/>
      <c r="CX48" s="45"/>
      <c r="CY48" s="45"/>
      <c r="CZ48" s="45"/>
      <c r="DA48" s="45"/>
      <c r="DB48" s="45"/>
      <c r="DC48" s="45"/>
      <c r="DD48" s="45"/>
      <c r="DE48" s="45"/>
      <c r="DF48" s="45"/>
      <c r="DG48" s="45"/>
      <c r="DH48" s="45"/>
      <c r="DI48" s="45"/>
      <c r="DJ48" s="45"/>
      <c r="DN48" s="45"/>
      <c r="DO48" s="45"/>
      <c r="DP48" s="45" t="s">
        <v>283</v>
      </c>
      <c r="DR48" s="45"/>
      <c r="DS48" s="45"/>
      <c r="DT48" s="45"/>
      <c r="DU48" s="45"/>
      <c r="DV48" s="45"/>
      <c r="DW48" s="45"/>
      <c r="DX48" s="45"/>
      <c r="DY48" s="45"/>
      <c r="DZ48" s="45"/>
      <c r="EA48" s="45"/>
      <c r="EB48" s="45"/>
      <c r="EC48" s="45"/>
      <c r="ED48" s="45"/>
      <c r="EE48" s="45"/>
      <c r="EF48" s="45"/>
      <c r="EG48" s="45"/>
      <c r="EH48" s="45"/>
      <c r="EI48" s="45"/>
      <c r="EJ48" s="45"/>
      <c r="EK48" s="45"/>
      <c r="EL48" s="45"/>
      <c r="EM48" s="45"/>
      <c r="EN48" s="45"/>
      <c r="EO48" s="45"/>
      <c r="EP48" s="45"/>
      <c r="EQ48" s="45"/>
      <c r="ER48" s="45"/>
      <c r="ES48" s="45"/>
      <c r="ET48" s="45"/>
      <c r="EU48" s="45"/>
      <c r="EV48" s="45"/>
      <c r="EW48" s="45"/>
    </row>
    <row r="49" spans="1:153" x14ac:dyDescent="0.35">
      <c r="A49" s="45"/>
      <c r="B49" s="45"/>
      <c r="C49" s="45" t="s">
        <v>284</v>
      </c>
      <c r="E49" s="45"/>
      <c r="F49" s="45"/>
      <c r="G49" s="45"/>
      <c r="H49" s="45"/>
      <c r="I49" s="45"/>
      <c r="J49" s="45"/>
      <c r="K49" s="45"/>
      <c r="L49" s="45"/>
      <c r="M49" s="45"/>
      <c r="N49" s="45"/>
      <c r="O49" s="45"/>
      <c r="P49" s="45"/>
      <c r="Q49" s="45"/>
      <c r="R49" s="45"/>
      <c r="S49" s="45"/>
      <c r="T49" s="45"/>
      <c r="U49" s="45"/>
      <c r="V49" s="45"/>
      <c r="W49" s="45"/>
      <c r="X49" s="45"/>
      <c r="Y49" s="45"/>
      <c r="Z49" s="45"/>
      <c r="AA49" s="45"/>
      <c r="AB49" s="45"/>
      <c r="AC49" s="45"/>
      <c r="AD49" s="45"/>
      <c r="AE49" s="45"/>
      <c r="AF49" s="45"/>
      <c r="AG49" s="45"/>
      <c r="AH49" s="45"/>
      <c r="AI49" s="45"/>
      <c r="AJ49" s="45"/>
      <c r="AN49" s="45"/>
      <c r="AO49" s="45"/>
      <c r="AP49" s="45" t="s">
        <v>284</v>
      </c>
      <c r="AR49" s="45"/>
      <c r="AS49" s="45"/>
      <c r="AT49" s="45"/>
      <c r="AU49" s="45"/>
      <c r="AV49" s="45"/>
      <c r="AW49" s="45"/>
      <c r="AX49" s="45"/>
      <c r="AY49" s="45"/>
      <c r="AZ49" s="45"/>
      <c r="BA49" s="45"/>
      <c r="BB49" s="45"/>
      <c r="BC49" s="45"/>
      <c r="BD49" s="45"/>
      <c r="BE49" s="45"/>
      <c r="BF49" s="45"/>
      <c r="BG49" s="45"/>
      <c r="BH49" s="45"/>
      <c r="BI49" s="45"/>
      <c r="BJ49" s="45"/>
      <c r="BK49" s="45"/>
      <c r="BL49" s="45"/>
      <c r="BM49" s="45"/>
      <c r="BN49" s="45"/>
      <c r="BO49" s="45"/>
      <c r="BP49" s="45"/>
      <c r="BQ49" s="45"/>
      <c r="BR49" s="45"/>
      <c r="BS49" s="45"/>
      <c r="BT49" s="45"/>
      <c r="BU49" s="45"/>
      <c r="BV49" s="45"/>
      <c r="BW49" s="45"/>
      <c r="CA49" s="45"/>
      <c r="CB49" s="45"/>
      <c r="CC49" s="45" t="s">
        <v>284</v>
      </c>
      <c r="CE49" s="45"/>
      <c r="CF49" s="45"/>
      <c r="CG49" s="45"/>
      <c r="CH49" s="45"/>
      <c r="CI49" s="45"/>
      <c r="CJ49" s="45"/>
      <c r="CK49" s="45"/>
      <c r="CL49" s="45"/>
      <c r="CM49" s="45"/>
      <c r="CN49" s="45"/>
      <c r="CO49" s="45"/>
      <c r="CP49" s="45"/>
      <c r="CQ49" s="45"/>
      <c r="CR49" s="45"/>
      <c r="CS49" s="45"/>
      <c r="CT49" s="45"/>
      <c r="CU49" s="45"/>
      <c r="CV49" s="45"/>
      <c r="CW49" s="45"/>
      <c r="CX49" s="45"/>
      <c r="CY49" s="45"/>
      <c r="CZ49" s="45"/>
      <c r="DA49" s="45"/>
      <c r="DB49" s="45"/>
      <c r="DC49" s="45"/>
      <c r="DD49" s="45"/>
      <c r="DE49" s="45"/>
      <c r="DF49" s="45"/>
      <c r="DG49" s="45"/>
      <c r="DH49" s="45"/>
      <c r="DI49" s="45"/>
      <c r="DJ49" s="45"/>
      <c r="DN49" s="45"/>
      <c r="DO49" s="45"/>
      <c r="DP49" s="45" t="s">
        <v>284</v>
      </c>
      <c r="DR49" s="45"/>
      <c r="DS49" s="45"/>
      <c r="DT49" s="45"/>
      <c r="DU49" s="45"/>
      <c r="DV49" s="45"/>
      <c r="DW49" s="45"/>
      <c r="DX49" s="45"/>
      <c r="DY49" s="45"/>
      <c r="DZ49" s="45"/>
      <c r="EA49" s="45"/>
      <c r="EB49" s="45"/>
      <c r="EC49" s="45"/>
      <c r="ED49" s="45"/>
      <c r="EE49" s="45"/>
      <c r="EF49" s="45"/>
      <c r="EG49" s="45"/>
      <c r="EH49" s="45"/>
      <c r="EI49" s="45"/>
      <c r="EJ49" s="45"/>
      <c r="EK49" s="45"/>
      <c r="EL49" s="45"/>
      <c r="EM49" s="45"/>
      <c r="EN49" s="45"/>
      <c r="EO49" s="45"/>
      <c r="EP49" s="45"/>
      <c r="EQ49" s="45"/>
      <c r="ER49" s="45"/>
      <c r="ES49" s="45"/>
      <c r="ET49" s="45"/>
      <c r="EU49" s="45"/>
      <c r="EV49" s="45"/>
      <c r="EW49" s="45"/>
    </row>
    <row r="50" spans="1:153" ht="17" x14ac:dyDescent="0.45">
      <c r="A50" s="45"/>
      <c r="B50" s="45"/>
      <c r="C50" s="45" t="s">
        <v>285</v>
      </c>
      <c r="E50" s="45"/>
      <c r="F50" s="45"/>
      <c r="G50" s="45"/>
      <c r="H50" s="45" t="s">
        <v>0</v>
      </c>
      <c r="I50" s="45" t="s">
        <v>286</v>
      </c>
      <c r="J50" s="45"/>
      <c r="K50" s="45"/>
      <c r="L50" s="45"/>
      <c r="M50" s="45"/>
      <c r="N50" s="45"/>
      <c r="O50" s="45"/>
      <c r="P50" s="45"/>
      <c r="Q50" s="45"/>
      <c r="R50" s="45"/>
      <c r="S50" s="45"/>
      <c r="T50" s="45"/>
      <c r="U50" s="45"/>
      <c r="V50" s="45"/>
      <c r="W50" s="45"/>
      <c r="X50" s="45"/>
      <c r="Y50" s="45"/>
      <c r="Z50" s="45"/>
      <c r="AA50" s="45"/>
      <c r="AB50" s="45"/>
      <c r="AC50" s="45"/>
      <c r="AD50" s="45"/>
      <c r="AE50" s="45"/>
      <c r="AF50" s="45"/>
      <c r="AG50" s="45"/>
      <c r="AH50" s="45"/>
      <c r="AI50" s="45"/>
      <c r="AJ50" s="45"/>
      <c r="AN50" s="45"/>
      <c r="AO50" s="45"/>
      <c r="AP50" s="45" t="s">
        <v>285</v>
      </c>
      <c r="AR50" s="45"/>
      <c r="AS50" s="45"/>
      <c r="AT50" s="45"/>
      <c r="AU50" s="45" t="s">
        <v>0</v>
      </c>
      <c r="AV50" s="45" t="s">
        <v>286</v>
      </c>
      <c r="AW50" s="45"/>
      <c r="AX50" s="45"/>
      <c r="AY50" s="45"/>
      <c r="AZ50" s="45"/>
      <c r="BA50" s="45"/>
      <c r="BB50" s="45"/>
      <c r="BC50" s="45"/>
      <c r="BD50" s="45"/>
      <c r="BE50" s="45"/>
      <c r="BF50" s="45"/>
      <c r="BG50" s="45"/>
      <c r="BH50" s="45"/>
      <c r="BI50" s="45"/>
      <c r="BJ50" s="45"/>
      <c r="BK50" s="45"/>
      <c r="BL50" s="45"/>
      <c r="BM50" s="45"/>
      <c r="BN50" s="45"/>
      <c r="BO50" s="45"/>
      <c r="BP50" s="45"/>
      <c r="BQ50" s="45"/>
      <c r="BR50" s="45"/>
      <c r="BS50" s="45"/>
      <c r="BT50" s="45"/>
      <c r="BU50" s="45"/>
      <c r="BV50" s="45"/>
      <c r="BW50" s="45"/>
      <c r="CA50" s="45"/>
      <c r="CB50" s="45"/>
      <c r="CC50" s="45" t="s">
        <v>285</v>
      </c>
      <c r="CE50" s="45"/>
      <c r="CF50" s="45"/>
      <c r="CG50" s="45"/>
      <c r="CH50" s="45" t="s">
        <v>0</v>
      </c>
      <c r="CI50" s="45" t="s">
        <v>286</v>
      </c>
      <c r="CJ50" s="45"/>
      <c r="CK50" s="45"/>
      <c r="CL50" s="45"/>
      <c r="CM50" s="45"/>
      <c r="CN50" s="45"/>
      <c r="CO50" s="45"/>
      <c r="CP50" s="45"/>
      <c r="CQ50" s="45"/>
      <c r="CR50" s="45"/>
      <c r="CS50" s="45"/>
      <c r="CT50" s="45"/>
      <c r="CU50" s="45"/>
      <c r="CV50" s="45"/>
      <c r="CW50" s="45"/>
      <c r="CX50" s="45"/>
      <c r="CY50" s="45"/>
      <c r="CZ50" s="45"/>
      <c r="DA50" s="45"/>
      <c r="DB50" s="45"/>
      <c r="DC50" s="45"/>
      <c r="DD50" s="45"/>
      <c r="DE50" s="45"/>
      <c r="DF50" s="45"/>
      <c r="DG50" s="45"/>
      <c r="DH50" s="45"/>
      <c r="DI50" s="45"/>
      <c r="DJ50" s="45"/>
      <c r="DN50" s="45"/>
      <c r="DO50" s="45"/>
      <c r="DP50" s="45" t="s">
        <v>285</v>
      </c>
      <c r="DR50" s="45"/>
      <c r="DS50" s="45"/>
      <c r="DT50" s="45"/>
      <c r="DU50" s="45" t="s">
        <v>0</v>
      </c>
      <c r="DV50" s="45" t="s">
        <v>286</v>
      </c>
      <c r="DW50" s="45"/>
      <c r="DX50" s="45"/>
      <c r="DY50" s="45"/>
      <c r="DZ50" s="45"/>
      <c r="EA50" s="45"/>
      <c r="EB50" s="45"/>
      <c r="EC50" s="45"/>
      <c r="ED50" s="45"/>
      <c r="EE50" s="45"/>
      <c r="EF50" s="45"/>
      <c r="EG50" s="45"/>
      <c r="EH50" s="45"/>
      <c r="EI50" s="45"/>
      <c r="EJ50" s="45"/>
      <c r="EK50" s="45"/>
      <c r="EL50" s="45"/>
      <c r="EM50" s="45"/>
      <c r="EN50" s="45"/>
      <c r="EO50" s="45"/>
      <c r="EP50" s="45"/>
      <c r="EQ50" s="45"/>
      <c r="ER50" s="45"/>
      <c r="ES50" s="45"/>
      <c r="ET50" s="45"/>
      <c r="EU50" s="45"/>
      <c r="EV50" s="45"/>
      <c r="EW50" s="45"/>
    </row>
    <row r="51" spans="1:153" ht="17" x14ac:dyDescent="0.45">
      <c r="A51" s="45"/>
      <c r="B51" s="45"/>
      <c r="C51" s="45" t="s">
        <v>287</v>
      </c>
      <c r="E51" s="45"/>
      <c r="F51" s="45"/>
      <c r="G51" s="45"/>
      <c r="H51" s="45"/>
      <c r="I51" s="45" t="s">
        <v>288</v>
      </c>
      <c r="J51" s="45"/>
      <c r="K51" s="45"/>
      <c r="L51" s="45"/>
      <c r="M51" s="45"/>
      <c r="N51" s="45"/>
      <c r="O51" s="45"/>
      <c r="P51" s="45"/>
      <c r="Q51" s="45"/>
      <c r="R51" s="45"/>
      <c r="S51" s="45"/>
      <c r="T51" s="45"/>
      <c r="U51" s="45"/>
      <c r="V51" s="45"/>
      <c r="W51" s="45"/>
      <c r="X51" s="45"/>
      <c r="Y51" s="45"/>
      <c r="Z51" s="45"/>
      <c r="AA51" s="45"/>
      <c r="AB51" s="45"/>
      <c r="AC51" s="45"/>
      <c r="AD51" s="45"/>
      <c r="AE51" s="45"/>
      <c r="AF51" s="45"/>
      <c r="AG51" s="45"/>
      <c r="AH51" s="45"/>
      <c r="AI51" s="45"/>
      <c r="AJ51" s="45"/>
      <c r="AN51" s="45"/>
      <c r="AO51" s="45"/>
      <c r="AP51" s="45" t="s">
        <v>287</v>
      </c>
      <c r="AR51" s="45"/>
      <c r="AS51" s="45"/>
      <c r="AT51" s="45"/>
      <c r="AU51" s="45"/>
      <c r="AV51" s="45" t="s">
        <v>288</v>
      </c>
      <c r="AW51" s="45"/>
      <c r="AX51" s="45"/>
      <c r="AY51" s="45"/>
      <c r="AZ51" s="45"/>
      <c r="BA51" s="45"/>
      <c r="BB51" s="45"/>
      <c r="BC51" s="45"/>
      <c r="BD51" s="45"/>
      <c r="BE51" s="45"/>
      <c r="BF51" s="45"/>
      <c r="BG51" s="45"/>
      <c r="BH51" s="45"/>
      <c r="BI51" s="45"/>
      <c r="BJ51" s="45"/>
      <c r="BK51" s="45"/>
      <c r="BL51" s="45"/>
      <c r="BM51" s="45"/>
      <c r="BN51" s="45"/>
      <c r="BO51" s="45"/>
      <c r="BP51" s="45"/>
      <c r="BQ51" s="45"/>
      <c r="BR51" s="45"/>
      <c r="BS51" s="45"/>
      <c r="BT51" s="45"/>
      <c r="BU51" s="45"/>
      <c r="BV51" s="45"/>
      <c r="BW51" s="45"/>
      <c r="CA51" s="45"/>
      <c r="CB51" s="45"/>
      <c r="CC51" s="45" t="s">
        <v>287</v>
      </c>
      <c r="CE51" s="45"/>
      <c r="CF51" s="45"/>
      <c r="CG51" s="45"/>
      <c r="CH51" s="45"/>
      <c r="CI51" s="45" t="s">
        <v>288</v>
      </c>
      <c r="CJ51" s="45"/>
      <c r="CK51" s="45"/>
      <c r="CL51" s="45"/>
      <c r="CM51" s="45"/>
      <c r="CN51" s="45"/>
      <c r="CO51" s="45"/>
      <c r="CP51" s="45"/>
      <c r="CQ51" s="45"/>
      <c r="CR51" s="45"/>
      <c r="CS51" s="45"/>
      <c r="CT51" s="45"/>
      <c r="CU51" s="45"/>
      <c r="CV51" s="45"/>
      <c r="CW51" s="45"/>
      <c r="CX51" s="45"/>
      <c r="CY51" s="45"/>
      <c r="CZ51" s="45"/>
      <c r="DA51" s="45"/>
      <c r="DB51" s="45"/>
      <c r="DC51" s="45"/>
      <c r="DD51" s="45"/>
      <c r="DE51" s="45"/>
      <c r="DF51" s="45"/>
      <c r="DG51" s="45"/>
      <c r="DH51" s="45"/>
      <c r="DI51" s="45"/>
      <c r="DJ51" s="45"/>
      <c r="DN51" s="45"/>
      <c r="DO51" s="45"/>
      <c r="DP51" s="45" t="s">
        <v>287</v>
      </c>
      <c r="DR51" s="45"/>
      <c r="DS51" s="45"/>
      <c r="DT51" s="45"/>
      <c r="DU51" s="45"/>
      <c r="DV51" s="45" t="s">
        <v>288</v>
      </c>
      <c r="DW51" s="45"/>
      <c r="DX51" s="45"/>
      <c r="DY51" s="45"/>
      <c r="DZ51" s="45"/>
      <c r="EA51" s="45"/>
      <c r="EB51" s="45"/>
      <c r="EC51" s="45"/>
      <c r="ED51" s="45"/>
      <c r="EE51" s="45"/>
      <c r="EF51" s="45"/>
      <c r="EG51" s="45"/>
      <c r="EH51" s="45"/>
      <c r="EI51" s="45"/>
      <c r="EJ51" s="45"/>
      <c r="EK51" s="45"/>
      <c r="EL51" s="45"/>
      <c r="EM51" s="45"/>
      <c r="EN51" s="45"/>
      <c r="EO51" s="45"/>
      <c r="EP51" s="45"/>
      <c r="EQ51" s="45"/>
      <c r="ER51" s="45"/>
      <c r="ES51" s="45"/>
      <c r="ET51" s="45"/>
      <c r="EU51" s="45"/>
      <c r="EV51" s="45"/>
      <c r="EW51" s="45"/>
    </row>
    <row r="52" spans="1:153" x14ac:dyDescent="0.35">
      <c r="A52" s="45"/>
      <c r="B52" s="45"/>
      <c r="C52" s="45"/>
      <c r="D52" s="45"/>
      <c r="E52" s="45"/>
      <c r="F52" s="45"/>
      <c r="G52" s="45"/>
      <c r="H52" s="45"/>
      <c r="I52" s="45"/>
      <c r="J52" s="45"/>
      <c r="K52" s="45"/>
      <c r="L52" s="45"/>
      <c r="M52" s="45"/>
      <c r="N52" s="45"/>
      <c r="O52" s="45"/>
      <c r="P52" s="45"/>
      <c r="Q52" s="45"/>
      <c r="R52" s="45"/>
      <c r="S52" s="45"/>
      <c r="T52" s="45"/>
      <c r="U52" s="45"/>
      <c r="V52" s="45"/>
      <c r="W52" s="45"/>
      <c r="X52" s="45"/>
      <c r="Y52" s="45"/>
      <c r="Z52" s="45"/>
      <c r="AA52" s="45"/>
      <c r="AB52" s="45"/>
      <c r="AC52" s="45"/>
      <c r="AD52" s="45"/>
      <c r="AE52" s="45"/>
      <c r="AF52" s="45"/>
      <c r="AG52" s="45"/>
      <c r="AH52" s="45"/>
      <c r="AI52" s="45"/>
      <c r="AJ52" s="45"/>
      <c r="AN52" s="45"/>
      <c r="AO52" s="45"/>
      <c r="AP52" s="45"/>
      <c r="AQ52" s="45"/>
      <c r="AR52" s="45"/>
      <c r="AS52" s="45"/>
      <c r="AT52" s="45"/>
      <c r="AU52" s="45"/>
      <c r="AV52" s="45"/>
      <c r="AW52" s="45"/>
      <c r="AX52" s="45"/>
      <c r="AY52" s="45"/>
      <c r="AZ52" s="45"/>
      <c r="BA52" s="45"/>
      <c r="BB52" s="45"/>
      <c r="BC52" s="45"/>
      <c r="BD52" s="45"/>
      <c r="BE52" s="45"/>
      <c r="BF52" s="45"/>
      <c r="BG52" s="45"/>
      <c r="BH52" s="45"/>
      <c r="BI52" s="45"/>
      <c r="BJ52" s="45"/>
      <c r="BK52" s="45"/>
      <c r="BL52" s="45"/>
      <c r="BM52" s="45"/>
      <c r="BN52" s="45"/>
      <c r="BO52" s="45"/>
      <c r="BP52" s="45"/>
      <c r="BQ52" s="45"/>
      <c r="BR52" s="45"/>
      <c r="BS52" s="45"/>
      <c r="BT52" s="45"/>
      <c r="BU52" s="45"/>
      <c r="BV52" s="45"/>
      <c r="BW52" s="45"/>
      <c r="CA52" s="45"/>
      <c r="CB52" s="45"/>
      <c r="CC52" s="45"/>
      <c r="CD52" s="45"/>
      <c r="CE52" s="45"/>
      <c r="CF52" s="45"/>
      <c r="CG52" s="45"/>
      <c r="CH52" s="45"/>
      <c r="CI52" s="45"/>
      <c r="CJ52" s="45"/>
      <c r="CK52" s="45"/>
      <c r="CL52" s="45"/>
      <c r="CM52" s="45"/>
      <c r="CN52" s="45"/>
      <c r="CO52" s="45"/>
      <c r="CP52" s="45"/>
      <c r="CQ52" s="45"/>
      <c r="CR52" s="45"/>
      <c r="CS52" s="45"/>
      <c r="CT52" s="45"/>
      <c r="CU52" s="45"/>
      <c r="CV52" s="45"/>
      <c r="CW52" s="45"/>
      <c r="CX52" s="45"/>
      <c r="CY52" s="45"/>
      <c r="CZ52" s="45"/>
      <c r="DA52" s="45"/>
      <c r="DB52" s="45"/>
      <c r="DC52" s="45"/>
      <c r="DD52" s="45"/>
      <c r="DE52" s="45"/>
      <c r="DF52" s="45"/>
      <c r="DG52" s="45"/>
      <c r="DH52" s="45"/>
      <c r="DI52" s="45"/>
      <c r="DJ52" s="45"/>
      <c r="DN52" s="45"/>
      <c r="DO52" s="45"/>
      <c r="DP52" s="45"/>
      <c r="DQ52" s="45"/>
      <c r="DR52" s="45"/>
      <c r="DS52" s="45"/>
      <c r="DT52" s="45"/>
      <c r="DU52" s="45"/>
      <c r="DV52" s="45"/>
      <c r="DW52" s="45"/>
      <c r="DX52" s="45"/>
      <c r="DY52" s="45"/>
      <c r="DZ52" s="45"/>
      <c r="EA52" s="45"/>
      <c r="EB52" s="45"/>
      <c r="EC52" s="45"/>
      <c r="ED52" s="45"/>
      <c r="EE52" s="45"/>
      <c r="EF52" s="45"/>
      <c r="EG52" s="45"/>
      <c r="EH52" s="45"/>
      <c r="EI52" s="45"/>
      <c r="EJ52" s="45"/>
      <c r="EK52" s="45"/>
      <c r="EL52" s="45"/>
      <c r="EM52" s="45"/>
      <c r="EN52" s="45"/>
      <c r="EO52" s="45"/>
      <c r="EP52" s="45"/>
      <c r="EQ52" s="45"/>
      <c r="ER52" s="45"/>
      <c r="ES52" s="45"/>
      <c r="ET52" s="45"/>
      <c r="EU52" s="45"/>
      <c r="EV52" s="45"/>
      <c r="EW52" s="45"/>
    </row>
    <row r="53" spans="1:153" ht="17" x14ac:dyDescent="0.45">
      <c r="A53" s="45"/>
      <c r="B53" s="45"/>
      <c r="C53" s="265" t="s">
        <v>289</v>
      </c>
      <c r="E53" s="45"/>
      <c r="F53" s="45"/>
      <c r="G53" s="45"/>
      <c r="H53" s="45"/>
      <c r="I53" s="45"/>
      <c r="J53" s="45"/>
      <c r="K53" s="45"/>
      <c r="L53" s="45"/>
      <c r="M53" s="45"/>
      <c r="N53" s="45"/>
      <c r="O53" s="45"/>
      <c r="P53" s="45"/>
      <c r="Q53" s="45"/>
      <c r="R53" s="45"/>
      <c r="S53" s="45"/>
      <c r="T53" s="45"/>
      <c r="U53" s="45"/>
      <c r="V53" s="45"/>
      <c r="W53" s="45"/>
      <c r="X53" s="45"/>
      <c r="Y53" s="45"/>
      <c r="Z53" s="45"/>
      <c r="AA53" s="45"/>
      <c r="AB53" s="45"/>
      <c r="AC53" s="45"/>
      <c r="AD53" s="45"/>
      <c r="AE53" s="45"/>
      <c r="AF53" s="45"/>
      <c r="AG53" s="45"/>
      <c r="AH53" s="45"/>
      <c r="AI53" s="45"/>
      <c r="AJ53" s="45"/>
      <c r="AN53" s="45"/>
      <c r="AO53" s="45"/>
      <c r="AP53" s="265" t="s">
        <v>289</v>
      </c>
      <c r="AR53" s="45"/>
      <c r="AS53" s="45"/>
      <c r="AT53" s="45"/>
      <c r="AU53" s="45"/>
      <c r="AV53" s="45"/>
      <c r="AW53" s="45"/>
      <c r="AX53" s="45"/>
      <c r="AY53" s="45"/>
      <c r="AZ53" s="45"/>
      <c r="BA53" s="45"/>
      <c r="BB53" s="45"/>
      <c r="BC53" s="45"/>
      <c r="BD53" s="45"/>
      <c r="BE53" s="45"/>
      <c r="BF53" s="45"/>
      <c r="BG53" s="45"/>
      <c r="BH53" s="45"/>
      <c r="BI53" s="45"/>
      <c r="BJ53" s="45"/>
      <c r="BK53" s="45"/>
      <c r="BL53" s="45"/>
      <c r="BM53" s="45"/>
      <c r="BN53" s="45"/>
      <c r="BO53" s="45"/>
      <c r="BP53" s="45"/>
      <c r="BQ53" s="45"/>
      <c r="BR53" s="45"/>
      <c r="BS53" s="45"/>
      <c r="BT53" s="45"/>
      <c r="BU53" s="45"/>
      <c r="BV53" s="45"/>
      <c r="BW53" s="45"/>
      <c r="CA53" s="45"/>
      <c r="CB53" s="45"/>
      <c r="CC53" s="265" t="s">
        <v>289</v>
      </c>
      <c r="CE53" s="45"/>
      <c r="CF53" s="45"/>
      <c r="CG53" s="45"/>
      <c r="CH53" s="45"/>
      <c r="CI53" s="45"/>
      <c r="CJ53" s="45"/>
      <c r="CK53" s="45"/>
      <c r="CL53" s="45"/>
      <c r="CM53" s="45"/>
      <c r="CN53" s="45"/>
      <c r="CO53" s="45"/>
      <c r="CP53" s="45"/>
      <c r="CQ53" s="45"/>
      <c r="CR53" s="45"/>
      <c r="CS53" s="45"/>
      <c r="CT53" s="45"/>
      <c r="CU53" s="45"/>
      <c r="CV53" s="45"/>
      <c r="CW53" s="45"/>
      <c r="CX53" s="45"/>
      <c r="CY53" s="45"/>
      <c r="CZ53" s="45"/>
      <c r="DA53" s="45"/>
      <c r="DB53" s="45"/>
      <c r="DC53" s="45"/>
      <c r="DD53" s="45"/>
      <c r="DE53" s="45"/>
      <c r="DF53" s="45"/>
      <c r="DG53" s="45"/>
      <c r="DH53" s="45"/>
      <c r="DI53" s="45"/>
      <c r="DJ53" s="45"/>
      <c r="DN53" s="45"/>
      <c r="DO53" s="45"/>
      <c r="DP53" s="265" t="s">
        <v>289</v>
      </c>
      <c r="DR53" s="45"/>
      <c r="DS53" s="45"/>
      <c r="DT53" s="45"/>
      <c r="DU53" s="45"/>
      <c r="DV53" s="45"/>
      <c r="DW53" s="45"/>
      <c r="DX53" s="45"/>
      <c r="DY53" s="45"/>
      <c r="DZ53" s="45"/>
      <c r="EA53" s="45"/>
      <c r="EB53" s="45"/>
      <c r="EC53" s="45"/>
      <c r="ED53" s="45"/>
      <c r="EE53" s="45"/>
      <c r="EF53" s="45"/>
      <c r="EG53" s="45"/>
      <c r="EH53" s="45"/>
      <c r="EI53" s="45"/>
      <c r="EJ53" s="45"/>
      <c r="EK53" s="45"/>
      <c r="EL53" s="45"/>
      <c r="EM53" s="45"/>
      <c r="EN53" s="45"/>
      <c r="EO53" s="45"/>
      <c r="EP53" s="45"/>
      <c r="EQ53" s="45"/>
      <c r="ER53" s="45"/>
      <c r="ES53" s="45"/>
      <c r="ET53" s="45"/>
      <c r="EU53" s="45"/>
      <c r="EV53" s="45"/>
      <c r="EW53" s="45"/>
    </row>
    <row r="54" spans="1:153" x14ac:dyDescent="0.35">
      <c r="A54" s="45"/>
      <c r="B54" s="45"/>
      <c r="C54" s="45"/>
      <c r="E54" s="45"/>
      <c r="F54" s="45"/>
      <c r="G54" s="45"/>
      <c r="H54" s="45"/>
      <c r="I54" s="45"/>
      <c r="J54" s="45"/>
      <c r="K54" s="45"/>
      <c r="L54" s="45"/>
      <c r="M54" s="45"/>
      <c r="N54" s="45"/>
      <c r="O54" s="45"/>
      <c r="P54" s="45"/>
      <c r="Q54" s="45"/>
      <c r="R54" s="45"/>
      <c r="S54" s="45"/>
      <c r="T54" s="45"/>
      <c r="U54" s="45"/>
      <c r="V54" s="45"/>
      <c r="W54" s="45"/>
      <c r="X54" s="45"/>
      <c r="Y54" s="45"/>
      <c r="Z54" s="45"/>
      <c r="AA54" s="45"/>
      <c r="AB54" s="45"/>
      <c r="AC54" s="45"/>
      <c r="AD54" s="45"/>
      <c r="AE54" s="45"/>
      <c r="AF54" s="45"/>
      <c r="AG54" s="45"/>
      <c r="AH54" s="45"/>
      <c r="AI54" s="45"/>
      <c r="AJ54" s="45"/>
      <c r="AN54" s="45"/>
      <c r="AO54" s="45"/>
      <c r="AP54" s="45"/>
      <c r="AR54" s="45"/>
      <c r="AS54" s="45"/>
      <c r="AT54" s="45"/>
      <c r="AU54" s="45"/>
      <c r="AV54" s="45"/>
      <c r="AW54" s="45"/>
      <c r="AX54" s="45"/>
      <c r="AY54" s="45"/>
      <c r="AZ54" s="45"/>
      <c r="BA54" s="45"/>
      <c r="BB54" s="45"/>
      <c r="BC54" s="45"/>
      <c r="BD54" s="45"/>
      <c r="BE54" s="45"/>
      <c r="BF54" s="45"/>
      <c r="BG54" s="45"/>
      <c r="BH54" s="45"/>
      <c r="BI54" s="45"/>
      <c r="BJ54" s="45"/>
      <c r="BK54" s="45"/>
      <c r="BL54" s="45"/>
      <c r="BM54" s="45"/>
      <c r="BN54" s="45"/>
      <c r="BO54" s="45"/>
      <c r="BP54" s="45"/>
      <c r="BQ54" s="45"/>
      <c r="BR54" s="45"/>
      <c r="BS54" s="45"/>
      <c r="BT54" s="45"/>
      <c r="BU54" s="45"/>
      <c r="BV54" s="45"/>
      <c r="BW54" s="45"/>
      <c r="CA54" s="45"/>
      <c r="CB54" s="45"/>
      <c r="CC54" s="45"/>
      <c r="CE54" s="45"/>
      <c r="CF54" s="45"/>
      <c r="CG54" s="45"/>
      <c r="CH54" s="45"/>
      <c r="CI54" s="45"/>
      <c r="CJ54" s="45"/>
      <c r="CK54" s="45"/>
      <c r="CL54" s="45"/>
      <c r="CM54" s="45"/>
      <c r="CN54" s="45"/>
      <c r="CO54" s="45"/>
      <c r="CP54" s="45"/>
      <c r="CQ54" s="45"/>
      <c r="CR54" s="45"/>
      <c r="CS54" s="45"/>
      <c r="CT54" s="45"/>
      <c r="CU54" s="45"/>
      <c r="CV54" s="45"/>
      <c r="CW54" s="45"/>
      <c r="CX54" s="45"/>
      <c r="CY54" s="45"/>
      <c r="CZ54" s="45"/>
      <c r="DA54" s="45"/>
      <c r="DB54" s="45"/>
      <c r="DC54" s="45"/>
      <c r="DD54" s="45"/>
      <c r="DE54" s="45"/>
      <c r="DF54" s="45"/>
      <c r="DG54" s="45"/>
      <c r="DH54" s="45"/>
      <c r="DI54" s="45"/>
      <c r="DJ54" s="45"/>
      <c r="DN54" s="45"/>
      <c r="DO54" s="45"/>
      <c r="DP54" s="45"/>
      <c r="DR54" s="45"/>
      <c r="DS54" s="45"/>
      <c r="DT54" s="45"/>
      <c r="DU54" s="45"/>
      <c r="DV54" s="45"/>
      <c r="DW54" s="45"/>
      <c r="DX54" s="45"/>
      <c r="DY54" s="45"/>
      <c r="DZ54" s="45"/>
      <c r="EA54" s="45"/>
      <c r="EB54" s="45"/>
      <c r="EC54" s="45"/>
      <c r="ED54" s="45"/>
      <c r="EE54" s="45"/>
      <c r="EF54" s="45"/>
      <c r="EG54" s="45"/>
      <c r="EH54" s="45"/>
      <c r="EI54" s="45"/>
      <c r="EJ54" s="45"/>
      <c r="EK54" s="45"/>
      <c r="EL54" s="45"/>
      <c r="EM54" s="45"/>
      <c r="EN54" s="45"/>
      <c r="EO54" s="45"/>
      <c r="EP54" s="45"/>
      <c r="EQ54" s="45"/>
      <c r="ER54" s="45"/>
      <c r="ES54" s="45"/>
      <c r="ET54" s="45"/>
      <c r="EU54" s="45"/>
      <c r="EV54" s="45"/>
      <c r="EW54" s="45"/>
    </row>
    <row r="55" spans="1:153" x14ac:dyDescent="0.35">
      <c r="A55" s="45"/>
      <c r="B55" s="45"/>
      <c r="C55" s="45" t="s">
        <v>290</v>
      </c>
      <c r="E55" s="45"/>
      <c r="F55" s="45"/>
      <c r="G55" s="45"/>
      <c r="H55" s="45"/>
      <c r="I55" s="45"/>
      <c r="J55" s="45"/>
      <c r="K55" s="45"/>
      <c r="L55" s="45"/>
      <c r="M55" s="45"/>
      <c r="N55" s="45"/>
      <c r="O55" s="45"/>
      <c r="P55" s="45" t="s">
        <v>291</v>
      </c>
      <c r="Q55" s="45" t="s">
        <v>0</v>
      </c>
      <c r="R55" s="958">
        <f>Design!F81</f>
        <v>75</v>
      </c>
      <c r="S55" s="958"/>
      <c r="T55" s="958"/>
      <c r="U55" s="958"/>
      <c r="V55" s="109"/>
      <c r="W55" s="45"/>
      <c r="X55" s="45"/>
      <c r="Y55" s="45"/>
      <c r="Z55" s="45"/>
      <c r="AA55" s="45"/>
      <c r="AB55" s="45"/>
      <c r="AC55" s="45"/>
      <c r="AD55" s="45"/>
      <c r="AE55" s="45"/>
      <c r="AF55" s="45"/>
      <c r="AG55" s="45"/>
      <c r="AH55" s="45"/>
      <c r="AI55" s="45"/>
      <c r="AJ55" s="45"/>
      <c r="AN55" s="45"/>
      <c r="AO55" s="45"/>
      <c r="AP55" s="45" t="s">
        <v>290</v>
      </c>
      <c r="AR55" s="45"/>
      <c r="AS55" s="45"/>
      <c r="AT55" s="45"/>
      <c r="AU55" s="45"/>
      <c r="AV55" s="45"/>
      <c r="AW55" s="45"/>
      <c r="AX55" s="45"/>
      <c r="AY55" s="45"/>
      <c r="AZ55" s="45"/>
      <c r="BA55" s="45"/>
      <c r="BB55" s="45"/>
      <c r="BC55" s="45" t="s">
        <v>291</v>
      </c>
      <c r="BD55" s="45" t="s">
        <v>0</v>
      </c>
      <c r="BE55" s="958">
        <f>Design!F83</f>
        <v>75</v>
      </c>
      <c r="BF55" s="958"/>
      <c r="BG55" s="958"/>
      <c r="BH55" s="958"/>
      <c r="BI55" s="109"/>
      <c r="BJ55" s="45"/>
      <c r="BK55" s="45"/>
      <c r="BL55" s="45"/>
      <c r="BM55" s="45"/>
      <c r="BN55" s="45"/>
      <c r="BO55" s="45"/>
      <c r="BP55" s="45"/>
      <c r="BQ55" s="45"/>
      <c r="BR55" s="45"/>
      <c r="BS55" s="45"/>
      <c r="BT55" s="45"/>
      <c r="BU55" s="45"/>
      <c r="BV55" s="45"/>
      <c r="BW55" s="45"/>
      <c r="CA55" s="45"/>
      <c r="CB55" s="45"/>
      <c r="CC55" s="45" t="s">
        <v>290</v>
      </c>
      <c r="CE55" s="45"/>
      <c r="CF55" s="45"/>
      <c r="CG55" s="45"/>
      <c r="CH55" s="45"/>
      <c r="CI55" s="45"/>
      <c r="CJ55" s="45"/>
      <c r="CK55" s="45"/>
      <c r="CL55" s="45"/>
      <c r="CM55" s="45"/>
      <c r="CN55" s="45"/>
      <c r="CO55" s="45"/>
      <c r="CP55" s="45" t="s">
        <v>291</v>
      </c>
      <c r="CQ55" s="45" t="s">
        <v>0</v>
      </c>
      <c r="CR55" s="958">
        <f>BE55</f>
        <v>75</v>
      </c>
      <c r="CS55" s="958"/>
      <c r="CT55" s="958"/>
      <c r="CU55" s="958"/>
      <c r="CV55" s="109"/>
      <c r="CW55" s="45"/>
      <c r="CX55" s="45"/>
      <c r="CY55" s="45"/>
      <c r="CZ55" s="45"/>
      <c r="DA55" s="45"/>
      <c r="DB55" s="45"/>
      <c r="DC55" s="45"/>
      <c r="DD55" s="45"/>
      <c r="DE55" s="45"/>
      <c r="DF55" s="45"/>
      <c r="DG55" s="45"/>
      <c r="DH55" s="45"/>
      <c r="DI55" s="45"/>
      <c r="DJ55" s="45"/>
      <c r="DN55" s="45"/>
      <c r="DO55" s="45"/>
      <c r="DP55" s="45" t="s">
        <v>290</v>
      </c>
      <c r="DR55" s="45"/>
      <c r="DS55" s="45"/>
      <c r="DT55" s="45"/>
      <c r="DU55" s="45"/>
      <c r="DV55" s="45"/>
      <c r="DW55" s="45"/>
      <c r="DX55" s="45"/>
      <c r="DY55" s="45"/>
      <c r="DZ55" s="45"/>
      <c r="EA55" s="45"/>
      <c r="EB55" s="45"/>
      <c r="EC55" s="45" t="s">
        <v>291</v>
      </c>
      <c r="ED55" s="45" t="s">
        <v>0</v>
      </c>
      <c r="EE55" s="958">
        <f>CR55</f>
        <v>75</v>
      </c>
      <c r="EF55" s="958"/>
      <c r="EG55" s="958"/>
      <c r="EH55" s="958"/>
      <c r="EI55" s="109"/>
      <c r="EJ55" s="45"/>
      <c r="EK55" s="45"/>
      <c r="EL55" s="45"/>
      <c r="EM55" s="45"/>
      <c r="EN55" s="45"/>
      <c r="EO55" s="45"/>
      <c r="EP55" s="45"/>
      <c r="EQ55" s="45"/>
      <c r="ER55" s="45"/>
      <c r="ES55" s="45"/>
      <c r="ET55" s="45"/>
      <c r="EU55" s="45"/>
      <c r="EV55" s="45"/>
      <c r="EW55" s="45"/>
    </row>
    <row r="56" spans="1:153" ht="17" x14ac:dyDescent="0.45">
      <c r="A56" s="45"/>
      <c r="B56" s="45"/>
      <c r="C56" s="45" t="s">
        <v>292</v>
      </c>
      <c r="E56" s="45"/>
      <c r="F56" s="45"/>
      <c r="G56" s="45"/>
      <c r="H56" s="45"/>
      <c r="I56" s="45"/>
      <c r="J56" s="45"/>
      <c r="K56" s="45"/>
      <c r="L56" s="45"/>
      <c r="M56" s="45"/>
      <c r="N56" s="45"/>
      <c r="O56" s="967" t="s">
        <v>293</v>
      </c>
      <c r="P56" s="967"/>
      <c r="Q56" s="45" t="s">
        <v>0</v>
      </c>
      <c r="R56" s="958">
        <f>Design!M375</f>
        <v>12</v>
      </c>
      <c r="S56" s="958"/>
      <c r="T56" s="958"/>
      <c r="U56" s="958"/>
      <c r="V56" s="109"/>
      <c r="W56" s="45"/>
      <c r="X56" s="45"/>
      <c r="Y56" s="45"/>
      <c r="Z56" s="45"/>
      <c r="AA56" s="45"/>
      <c r="AB56" s="45"/>
      <c r="AC56" s="45"/>
      <c r="AD56" s="45"/>
      <c r="AE56" s="45"/>
      <c r="AF56" s="45"/>
      <c r="AG56" s="45"/>
      <c r="AH56" s="45"/>
      <c r="AI56" s="45"/>
      <c r="AJ56" s="45"/>
      <c r="AN56" s="45"/>
      <c r="AO56" s="45"/>
      <c r="AP56" s="45" t="s">
        <v>292</v>
      </c>
      <c r="AR56" s="45"/>
      <c r="AS56" s="45"/>
      <c r="AT56" s="45"/>
      <c r="AU56" s="45"/>
      <c r="AV56" s="45"/>
      <c r="AW56" s="45"/>
      <c r="AX56" s="45"/>
      <c r="AY56" s="45"/>
      <c r="AZ56" s="45"/>
      <c r="BA56" s="45"/>
      <c r="BB56" s="967" t="s">
        <v>293</v>
      </c>
      <c r="BC56" s="967"/>
      <c r="BD56" s="45" t="s">
        <v>0</v>
      </c>
      <c r="BE56" s="958">
        <f>Design!M484</f>
        <v>10</v>
      </c>
      <c r="BF56" s="958"/>
      <c r="BG56" s="958"/>
      <c r="BH56" s="958"/>
      <c r="BI56" s="109"/>
      <c r="BJ56" s="45"/>
      <c r="BK56" s="45"/>
      <c r="BL56" s="45"/>
      <c r="BM56" s="45"/>
      <c r="BN56" s="45"/>
      <c r="BO56" s="45"/>
      <c r="BP56" s="45"/>
      <c r="BQ56" s="45"/>
      <c r="BR56" s="45"/>
      <c r="BS56" s="45"/>
      <c r="BT56" s="45"/>
      <c r="BU56" s="45"/>
      <c r="BV56" s="45"/>
      <c r="BW56" s="45"/>
      <c r="CA56" s="45"/>
      <c r="CB56" s="45"/>
      <c r="CC56" s="45" t="s">
        <v>292</v>
      </c>
      <c r="CE56" s="45"/>
      <c r="CF56" s="45"/>
      <c r="CG56" s="45"/>
      <c r="CH56" s="45"/>
      <c r="CI56" s="45"/>
      <c r="CJ56" s="45"/>
      <c r="CK56" s="45"/>
      <c r="CL56" s="45"/>
      <c r="CM56" s="45"/>
      <c r="CN56" s="45"/>
      <c r="CO56" s="967" t="s">
        <v>293</v>
      </c>
      <c r="CP56" s="967"/>
      <c r="CQ56" s="45" t="s">
        <v>0</v>
      </c>
      <c r="CR56" s="958">
        <f>Design!M602</f>
        <v>10</v>
      </c>
      <c r="CS56" s="958"/>
      <c r="CT56" s="958"/>
      <c r="CU56" s="958"/>
      <c r="CV56" s="109"/>
      <c r="CW56" s="45"/>
      <c r="CX56" s="45"/>
      <c r="CY56" s="45"/>
      <c r="CZ56" s="45"/>
      <c r="DA56" s="45"/>
      <c r="DB56" s="45"/>
      <c r="DC56" s="45"/>
      <c r="DD56" s="45"/>
      <c r="DE56" s="45"/>
      <c r="DF56" s="45"/>
      <c r="DG56" s="45"/>
      <c r="DH56" s="45"/>
      <c r="DI56" s="45"/>
      <c r="DJ56" s="45"/>
      <c r="DN56" s="45"/>
      <c r="DO56" s="45"/>
      <c r="DP56" s="45" t="s">
        <v>292</v>
      </c>
      <c r="DR56" s="45"/>
      <c r="DS56" s="45"/>
      <c r="DT56" s="45"/>
      <c r="DU56" s="45"/>
      <c r="DV56" s="45"/>
      <c r="DW56" s="45"/>
      <c r="DX56" s="45"/>
      <c r="DY56" s="45"/>
      <c r="DZ56" s="45"/>
      <c r="EA56" s="45"/>
      <c r="EB56" s="967" t="s">
        <v>293</v>
      </c>
      <c r="EC56" s="967"/>
      <c r="ED56" s="45" t="s">
        <v>0</v>
      </c>
      <c r="EE56" s="958">
        <f>Design!M525</f>
        <v>12</v>
      </c>
      <c r="EF56" s="958"/>
      <c r="EG56" s="958"/>
      <c r="EH56" s="958"/>
      <c r="EI56" s="109"/>
      <c r="EJ56" s="45"/>
      <c r="EK56" s="45"/>
      <c r="EL56" s="45"/>
      <c r="EM56" s="45"/>
      <c r="EN56" s="45"/>
      <c r="EO56" s="45"/>
      <c r="EP56" s="45"/>
      <c r="EQ56" s="45"/>
      <c r="ER56" s="45"/>
      <c r="ES56" s="45"/>
      <c r="ET56" s="45"/>
      <c r="EU56" s="45"/>
      <c r="EV56" s="45"/>
      <c r="EW56" s="45"/>
    </row>
    <row r="57" spans="1:153" ht="17" x14ac:dyDescent="0.45">
      <c r="A57" s="45"/>
      <c r="B57" s="45"/>
      <c r="C57" s="45"/>
      <c r="E57" s="45"/>
      <c r="F57" s="45"/>
      <c r="G57" s="45"/>
      <c r="H57" s="45"/>
      <c r="I57" s="45"/>
      <c r="J57" s="45"/>
      <c r="K57" s="45"/>
      <c r="L57" s="45"/>
      <c r="M57" s="45"/>
      <c r="N57" s="45"/>
      <c r="O57" s="967" t="s">
        <v>294</v>
      </c>
      <c r="P57" s="967"/>
      <c r="Q57" s="45" t="s">
        <v>0</v>
      </c>
      <c r="R57" s="968">
        <f>Design!M394</f>
        <v>0</v>
      </c>
      <c r="S57" s="968"/>
      <c r="T57" s="968"/>
      <c r="U57" s="968"/>
      <c r="V57" s="109"/>
      <c r="W57" s="45"/>
      <c r="X57" s="45"/>
      <c r="Y57" s="45"/>
      <c r="Z57" s="45"/>
      <c r="AA57" s="45"/>
      <c r="AB57" s="45"/>
      <c r="AC57" s="45"/>
      <c r="AD57" s="45"/>
      <c r="AE57" s="45"/>
      <c r="AF57" s="45"/>
      <c r="AG57" s="45"/>
      <c r="AH57" s="45"/>
      <c r="AI57" s="45"/>
      <c r="AJ57" s="45"/>
      <c r="AN57" s="45"/>
      <c r="AO57" s="45"/>
      <c r="AP57" s="45"/>
      <c r="AR57" s="45"/>
      <c r="AS57" s="45"/>
      <c r="AT57" s="45"/>
      <c r="AU57" s="45"/>
      <c r="AV57" s="45"/>
      <c r="AW57" s="45"/>
      <c r="AX57" s="45"/>
      <c r="AY57" s="45"/>
      <c r="AZ57" s="45"/>
      <c r="BA57" s="45"/>
      <c r="BB57" s="967" t="s">
        <v>294</v>
      </c>
      <c r="BC57" s="967"/>
      <c r="BD57" s="45" t="s">
        <v>0</v>
      </c>
      <c r="BE57" s="968">
        <f>Design!M485</f>
        <v>0</v>
      </c>
      <c r="BF57" s="968"/>
      <c r="BG57" s="968"/>
      <c r="BH57" s="968"/>
      <c r="BI57" s="109"/>
      <c r="BJ57" s="45"/>
      <c r="BK57" s="45"/>
      <c r="BL57" s="45"/>
      <c r="BM57" s="45"/>
      <c r="BN57" s="45"/>
      <c r="BO57" s="45"/>
      <c r="BP57" s="45"/>
      <c r="BQ57" s="45"/>
      <c r="BR57" s="45"/>
      <c r="BS57" s="45"/>
      <c r="BT57" s="45"/>
      <c r="BU57" s="45"/>
      <c r="BV57" s="45"/>
      <c r="BW57" s="45"/>
      <c r="CA57" s="45"/>
      <c r="CB57" s="45"/>
      <c r="CC57" s="45"/>
      <c r="CE57" s="45"/>
      <c r="CF57" s="45"/>
      <c r="CG57" s="45"/>
      <c r="CH57" s="45"/>
      <c r="CI57" s="45"/>
      <c r="CJ57" s="45"/>
      <c r="CK57" s="45"/>
      <c r="CL57" s="45"/>
      <c r="CM57" s="45"/>
      <c r="CN57" s="45"/>
      <c r="CO57" s="967" t="s">
        <v>294</v>
      </c>
      <c r="CP57" s="967"/>
      <c r="CQ57" s="45" t="s">
        <v>0</v>
      </c>
      <c r="CR57" s="968">
        <f>Design!M603</f>
        <v>0</v>
      </c>
      <c r="CS57" s="968"/>
      <c r="CT57" s="968"/>
      <c r="CU57" s="968"/>
      <c r="CV57" s="109"/>
      <c r="CW57" s="45"/>
      <c r="CX57" s="45"/>
      <c r="CY57" s="45"/>
      <c r="CZ57" s="45"/>
      <c r="DA57" s="45"/>
      <c r="DB57" s="45"/>
      <c r="DC57" s="45"/>
      <c r="DD57" s="45"/>
      <c r="DE57" s="45"/>
      <c r="DF57" s="45"/>
      <c r="DG57" s="45"/>
      <c r="DH57" s="45"/>
      <c r="DI57" s="45"/>
      <c r="DJ57" s="45"/>
      <c r="DN57" s="45"/>
      <c r="DO57" s="45"/>
      <c r="DP57" s="45"/>
      <c r="DR57" s="45"/>
      <c r="DS57" s="45"/>
      <c r="DT57" s="45"/>
      <c r="DU57" s="45"/>
      <c r="DV57" s="45"/>
      <c r="DW57" s="45"/>
      <c r="DX57" s="45"/>
      <c r="DY57" s="45"/>
      <c r="DZ57" s="45"/>
      <c r="EA57" s="45"/>
      <c r="EB57" s="967" t="s">
        <v>294</v>
      </c>
      <c r="EC57" s="967"/>
      <c r="ED57" s="45" t="s">
        <v>0</v>
      </c>
      <c r="EE57" s="968">
        <f>Design!M526</f>
        <v>0</v>
      </c>
      <c r="EF57" s="968"/>
      <c r="EG57" s="968"/>
      <c r="EH57" s="968"/>
      <c r="EI57" s="109"/>
      <c r="EJ57" s="45"/>
      <c r="EK57" s="45"/>
      <c r="EL57" s="45"/>
      <c r="EM57" s="45"/>
      <c r="EN57" s="45"/>
      <c r="EO57" s="45"/>
      <c r="EP57" s="45"/>
      <c r="EQ57" s="45"/>
      <c r="ER57" s="45"/>
      <c r="ES57" s="45"/>
      <c r="ET57" s="45"/>
      <c r="EU57" s="45"/>
      <c r="EV57" s="45"/>
      <c r="EW57" s="45"/>
    </row>
    <row r="58" spans="1:153" ht="16.5" customHeight="1" x14ac:dyDescent="0.45">
      <c r="A58" s="45"/>
      <c r="B58" s="45"/>
      <c r="C58" s="86" t="s">
        <v>295</v>
      </c>
      <c r="E58" s="45"/>
      <c r="F58" s="45"/>
      <c r="G58" s="45"/>
      <c r="H58" s="45"/>
      <c r="I58" s="45"/>
      <c r="J58" s="45"/>
      <c r="K58" s="45"/>
      <c r="L58" s="45"/>
      <c r="M58" s="45"/>
      <c r="N58" s="45"/>
      <c r="O58" s="45"/>
      <c r="P58" s="45" t="s">
        <v>296</v>
      </c>
      <c r="Q58" s="45" t="s">
        <v>0</v>
      </c>
      <c r="R58" s="969">
        <f>Design!AS375/(PI()/4*'Stress &amp; Crack width'!R56^2)</f>
        <v>10</v>
      </c>
      <c r="S58" s="969"/>
      <c r="T58" s="969"/>
      <c r="U58" s="969"/>
      <c r="V58" s="109"/>
      <c r="W58" s="45"/>
      <c r="X58" s="45"/>
      <c r="Y58" s="45"/>
      <c r="Z58" s="45"/>
      <c r="AA58" s="45"/>
      <c r="AB58" s="45"/>
      <c r="AC58" s="45"/>
      <c r="AD58" s="45"/>
      <c r="AE58" s="45"/>
      <c r="AF58" s="45"/>
      <c r="AG58" s="45"/>
      <c r="AH58" s="45"/>
      <c r="AI58" s="45"/>
      <c r="AJ58" s="45"/>
      <c r="AN58" s="45"/>
      <c r="AO58" s="45"/>
      <c r="AP58" s="86" t="s">
        <v>295</v>
      </c>
      <c r="AR58" s="45"/>
      <c r="AS58" s="45"/>
      <c r="AT58" s="45"/>
      <c r="AU58" s="45"/>
      <c r="AV58" s="45"/>
      <c r="AW58" s="45"/>
      <c r="AX58" s="45"/>
      <c r="AY58" s="45"/>
      <c r="AZ58" s="45"/>
      <c r="BA58" s="45"/>
      <c r="BB58" s="45"/>
      <c r="BC58" s="45" t="s">
        <v>296</v>
      </c>
      <c r="BD58" s="45" t="s">
        <v>0</v>
      </c>
      <c r="BE58" s="969">
        <f>Design!AS484/(PI()/4*'Stress &amp; Crack width'!BE56^2)</f>
        <v>10</v>
      </c>
      <c r="BF58" s="969"/>
      <c r="BG58" s="969"/>
      <c r="BH58" s="969"/>
      <c r="BI58" s="109"/>
      <c r="BJ58" s="45"/>
      <c r="BK58" s="45"/>
      <c r="BL58" s="45"/>
      <c r="BM58" s="45"/>
      <c r="BN58" s="45"/>
      <c r="BO58" s="45"/>
      <c r="BP58" s="45"/>
      <c r="BQ58" s="45"/>
      <c r="BR58" s="45"/>
      <c r="BS58" s="45"/>
      <c r="BT58" s="45"/>
      <c r="BU58" s="45"/>
      <c r="BV58" s="45"/>
      <c r="BW58" s="45"/>
      <c r="CA58" s="45"/>
      <c r="CB58" s="45"/>
      <c r="CC58" s="86" t="s">
        <v>295</v>
      </c>
      <c r="CE58" s="45"/>
      <c r="CF58" s="45"/>
      <c r="CG58" s="45"/>
      <c r="CH58" s="45"/>
      <c r="CI58" s="45"/>
      <c r="CJ58" s="45"/>
      <c r="CK58" s="45"/>
      <c r="CL58" s="45"/>
      <c r="CM58" s="45"/>
      <c r="CN58" s="45"/>
      <c r="CO58" s="45"/>
      <c r="CP58" s="45" t="s">
        <v>296</v>
      </c>
      <c r="CQ58" s="45" t="s">
        <v>0</v>
      </c>
      <c r="CR58" s="969">
        <f>Design!AR602/(PI()/4*'Stress &amp; Crack width'!CR56^2)</f>
        <v>10</v>
      </c>
      <c r="CS58" s="969"/>
      <c r="CT58" s="969"/>
      <c r="CU58" s="969"/>
      <c r="CV58" s="109"/>
      <c r="CW58" s="45"/>
      <c r="CX58" s="45"/>
      <c r="CY58" s="45"/>
      <c r="CZ58" s="45"/>
      <c r="DA58" s="45"/>
      <c r="DB58" s="45"/>
      <c r="DC58" s="45"/>
      <c r="DD58" s="45"/>
      <c r="DE58" s="45"/>
      <c r="DF58" s="45"/>
      <c r="DG58" s="45"/>
      <c r="DH58" s="45"/>
      <c r="DI58" s="45"/>
      <c r="DJ58" s="45"/>
      <c r="DN58" s="45"/>
      <c r="DO58" s="45"/>
      <c r="DP58" s="86" t="s">
        <v>295</v>
      </c>
      <c r="DR58" s="45"/>
      <c r="DS58" s="45"/>
      <c r="DT58" s="45"/>
      <c r="DU58" s="45"/>
      <c r="DV58" s="45"/>
      <c r="DW58" s="45"/>
      <c r="DX58" s="45"/>
      <c r="DY58" s="45"/>
      <c r="DZ58" s="45"/>
      <c r="EA58" s="45"/>
      <c r="EB58" s="45"/>
      <c r="EC58" s="45" t="s">
        <v>296</v>
      </c>
      <c r="ED58" s="45" t="s">
        <v>0</v>
      </c>
      <c r="EE58" s="969">
        <f>Design!AS525/(PI()/4*'Stress &amp; Crack width'!EE56^2)</f>
        <v>10</v>
      </c>
      <c r="EF58" s="969"/>
      <c r="EG58" s="969"/>
      <c r="EH58" s="969"/>
      <c r="EI58" s="109"/>
      <c r="EJ58" s="45"/>
      <c r="EK58" s="45"/>
      <c r="EL58" s="45"/>
      <c r="EM58" s="45"/>
      <c r="EN58" s="45"/>
      <c r="EO58" s="45"/>
      <c r="EP58" s="45"/>
      <c r="EQ58" s="45"/>
      <c r="ER58" s="45"/>
      <c r="ES58" s="45"/>
      <c r="ET58" s="45"/>
      <c r="EU58" s="45"/>
      <c r="EV58" s="45"/>
      <c r="EW58" s="45"/>
    </row>
    <row r="59" spans="1:153" ht="17" x14ac:dyDescent="0.45">
      <c r="A59" s="45"/>
      <c r="B59" s="45"/>
      <c r="C59" s="45"/>
      <c r="E59" s="45"/>
      <c r="F59" s="45"/>
      <c r="G59" s="45"/>
      <c r="H59" s="45"/>
      <c r="I59" s="45"/>
      <c r="J59" s="45"/>
      <c r="K59" s="45"/>
      <c r="L59" s="45"/>
      <c r="M59" s="45"/>
      <c r="N59" s="45"/>
      <c r="O59" s="45"/>
      <c r="P59" s="45" t="s">
        <v>297</v>
      </c>
      <c r="Q59" s="45" t="s">
        <v>0</v>
      </c>
      <c r="R59" s="878">
        <f>IF(R57=0,0,(Design!AS394/(PI()/4*'Stress &amp; Crack width'!R57^2)))</f>
        <v>0</v>
      </c>
      <c r="S59" s="878"/>
      <c r="T59" s="878"/>
      <c r="U59" s="878"/>
      <c r="V59" s="109"/>
      <c r="W59" s="45"/>
      <c r="X59" s="45"/>
      <c r="Y59" s="45"/>
      <c r="Z59" s="45"/>
      <c r="AA59" s="45"/>
      <c r="AB59" s="45"/>
      <c r="AC59" s="45"/>
      <c r="AD59" s="45"/>
      <c r="AE59" s="45"/>
      <c r="AF59" s="45"/>
      <c r="AG59" s="45"/>
      <c r="AH59" s="45"/>
      <c r="AI59" s="45"/>
      <c r="AJ59" s="45"/>
      <c r="AN59" s="45"/>
      <c r="AO59" s="45"/>
      <c r="AP59" s="45"/>
      <c r="AR59" s="45"/>
      <c r="AS59" s="45"/>
      <c r="AT59" s="45"/>
      <c r="AU59" s="45"/>
      <c r="AV59" s="45"/>
      <c r="AW59" s="45"/>
      <c r="AX59" s="45"/>
      <c r="AY59" s="45"/>
      <c r="AZ59" s="45"/>
      <c r="BA59" s="45"/>
      <c r="BB59" s="45"/>
      <c r="BC59" s="45" t="s">
        <v>297</v>
      </c>
      <c r="BD59" s="45" t="s">
        <v>0</v>
      </c>
      <c r="BE59" s="878">
        <f>IF(BE57=0,0,(Design!AS485/(PI()/4*'Stress &amp; Crack width'!BE57^2)))</f>
        <v>0</v>
      </c>
      <c r="BF59" s="878"/>
      <c r="BG59" s="878"/>
      <c r="BH59" s="878"/>
      <c r="BI59" s="109"/>
      <c r="BJ59" s="45"/>
      <c r="BK59" s="45"/>
      <c r="BL59" s="45"/>
      <c r="BM59" s="45"/>
      <c r="BN59" s="45"/>
      <c r="BO59" s="45"/>
      <c r="BP59" s="45"/>
      <c r="BQ59" s="45"/>
      <c r="BR59" s="45"/>
      <c r="BS59" s="45"/>
      <c r="BT59" s="45"/>
      <c r="BU59" s="45"/>
      <c r="BV59" s="45"/>
      <c r="BW59" s="45"/>
      <c r="CA59" s="45"/>
      <c r="CB59" s="45"/>
      <c r="CC59" s="45"/>
      <c r="CE59" s="45"/>
      <c r="CF59" s="45"/>
      <c r="CG59" s="45"/>
      <c r="CH59" s="45"/>
      <c r="CI59" s="45"/>
      <c r="CJ59" s="45"/>
      <c r="CK59" s="45"/>
      <c r="CL59" s="45"/>
      <c r="CM59" s="45"/>
      <c r="CN59" s="45"/>
      <c r="CO59" s="45"/>
      <c r="CP59" s="45" t="s">
        <v>297</v>
      </c>
      <c r="CQ59" s="45" t="s">
        <v>0</v>
      </c>
      <c r="CR59" s="878">
        <f>IF(CR57=0,0,(Design!AR603/(PI()/4*'Stress &amp; Crack width'!CR57^2)))</f>
        <v>0</v>
      </c>
      <c r="CS59" s="878"/>
      <c r="CT59" s="878"/>
      <c r="CU59" s="878"/>
      <c r="CV59" s="109"/>
      <c r="CW59" s="45"/>
      <c r="CX59" s="45"/>
      <c r="CY59" s="45"/>
      <c r="CZ59" s="45"/>
      <c r="DA59" s="45"/>
      <c r="DB59" s="45"/>
      <c r="DC59" s="45"/>
      <c r="DD59" s="45"/>
      <c r="DE59" s="45"/>
      <c r="DF59" s="45"/>
      <c r="DG59" s="45"/>
      <c r="DH59" s="45"/>
      <c r="DI59" s="45"/>
      <c r="DJ59" s="45"/>
      <c r="DN59" s="45"/>
      <c r="DO59" s="45"/>
      <c r="DP59" s="45"/>
      <c r="DR59" s="45"/>
      <c r="DS59" s="45"/>
      <c r="DT59" s="45"/>
      <c r="DU59" s="45"/>
      <c r="DV59" s="45"/>
      <c r="DW59" s="45"/>
      <c r="DX59" s="45"/>
      <c r="DY59" s="45"/>
      <c r="DZ59" s="45"/>
      <c r="EA59" s="45"/>
      <c r="EB59" s="45"/>
      <c r="EC59" s="45" t="s">
        <v>297</v>
      </c>
      <c r="ED59" s="45" t="s">
        <v>0</v>
      </c>
      <c r="EE59" s="878">
        <f>IF(M471=0,0,(Design!AS526/(PI()/4*'Stress &amp; Crack width'!EE57^2)))</f>
        <v>0</v>
      </c>
      <c r="EF59" s="878"/>
      <c r="EG59" s="878"/>
      <c r="EH59" s="878"/>
      <c r="EI59" s="109"/>
      <c r="EJ59" s="45"/>
      <c r="EK59" s="45"/>
      <c r="EL59" s="45"/>
      <c r="EM59" s="45"/>
      <c r="EN59" s="45"/>
      <c r="EO59" s="45"/>
      <c r="EP59" s="45"/>
      <c r="EQ59" s="45"/>
      <c r="ER59" s="45"/>
      <c r="ES59" s="45"/>
      <c r="ET59" s="45"/>
      <c r="EU59" s="45"/>
      <c r="EV59" s="45"/>
      <c r="EW59" s="45"/>
    </row>
    <row r="60" spans="1:153" ht="17" x14ac:dyDescent="0.45">
      <c r="A60" s="45"/>
      <c r="B60" s="45"/>
      <c r="C60" s="109" t="s">
        <v>298</v>
      </c>
      <c r="E60" s="45"/>
      <c r="F60" s="45"/>
      <c r="G60" s="45"/>
      <c r="H60" s="45"/>
      <c r="I60" s="45"/>
      <c r="J60" s="45"/>
      <c r="K60" s="45"/>
      <c r="L60" s="45"/>
      <c r="M60" s="45"/>
      <c r="N60" s="45"/>
      <c r="O60" s="45"/>
      <c r="P60" s="115" t="s">
        <v>299</v>
      </c>
      <c r="Q60" s="45" t="s">
        <v>0</v>
      </c>
      <c r="R60" s="958">
        <f>((R58*R56^2)+(R59*R57^2))/((R58*R56)+(R59*R57))</f>
        <v>12</v>
      </c>
      <c r="S60" s="958"/>
      <c r="T60" s="958"/>
      <c r="U60" s="958"/>
      <c r="V60" s="109"/>
      <c r="W60" s="266" t="s">
        <v>300</v>
      </c>
      <c r="X60" s="45"/>
      <c r="Y60" s="45"/>
      <c r="Z60" s="45"/>
      <c r="AA60" s="45"/>
      <c r="AB60" s="45"/>
      <c r="AC60" s="45"/>
      <c r="AD60" s="45"/>
      <c r="AE60" s="45"/>
      <c r="AF60" s="45"/>
      <c r="AG60" s="45"/>
      <c r="AH60" s="45"/>
      <c r="AI60" s="45"/>
      <c r="AJ60" s="45"/>
      <c r="AN60" s="45"/>
      <c r="AO60" s="45"/>
      <c r="AP60" s="109" t="s">
        <v>298</v>
      </c>
      <c r="AR60" s="45"/>
      <c r="AS60" s="45"/>
      <c r="AT60" s="45"/>
      <c r="AU60" s="45"/>
      <c r="AV60" s="45"/>
      <c r="AW60" s="45"/>
      <c r="AX60" s="45"/>
      <c r="AY60" s="45"/>
      <c r="AZ60" s="45"/>
      <c r="BA60" s="45"/>
      <c r="BB60" s="45"/>
      <c r="BC60" s="115" t="s">
        <v>299</v>
      </c>
      <c r="BD60" s="45" t="s">
        <v>0</v>
      </c>
      <c r="BE60" s="958">
        <f>((BE58*BE56^2)+(BE59*BE57^2))/((BE58*BE56)+(BE59*BE57))</f>
        <v>10</v>
      </c>
      <c r="BF60" s="958"/>
      <c r="BG60" s="958"/>
      <c r="BH60" s="958"/>
      <c r="BI60" s="109"/>
      <c r="BJ60" s="266" t="s">
        <v>300</v>
      </c>
      <c r="BK60" s="45"/>
      <c r="BL60" s="45"/>
      <c r="BM60" s="45"/>
      <c r="BN60" s="45"/>
      <c r="BO60" s="45"/>
      <c r="BP60" s="45"/>
      <c r="BQ60" s="45"/>
      <c r="BR60" s="45"/>
      <c r="BS60" s="45"/>
      <c r="BT60" s="45"/>
      <c r="BU60" s="45"/>
      <c r="BV60" s="45"/>
      <c r="BW60" s="45"/>
      <c r="CA60" s="45"/>
      <c r="CB60" s="45"/>
      <c r="CC60" s="109" t="s">
        <v>298</v>
      </c>
      <c r="CE60" s="45"/>
      <c r="CF60" s="45"/>
      <c r="CG60" s="45"/>
      <c r="CH60" s="45"/>
      <c r="CI60" s="45"/>
      <c r="CJ60" s="45"/>
      <c r="CK60" s="45"/>
      <c r="CL60" s="45"/>
      <c r="CM60" s="45"/>
      <c r="CN60" s="45"/>
      <c r="CO60" s="45"/>
      <c r="CP60" s="315" t="s">
        <v>299</v>
      </c>
      <c r="CQ60" s="45" t="s">
        <v>0</v>
      </c>
      <c r="CR60" s="958">
        <f>((CR58*CR56^2)+(CR59*CR57^2))/((CR58*CR56)+(CR59*CR57))</f>
        <v>10</v>
      </c>
      <c r="CS60" s="958"/>
      <c r="CT60" s="958"/>
      <c r="CU60" s="958"/>
      <c r="CV60" s="109"/>
      <c r="CW60" s="266" t="s">
        <v>300</v>
      </c>
      <c r="CX60" s="45"/>
      <c r="CY60" s="45"/>
      <c r="CZ60" s="45"/>
      <c r="DA60" s="45"/>
      <c r="DB60" s="45"/>
      <c r="DC60" s="45"/>
      <c r="DD60" s="45"/>
      <c r="DE60" s="45"/>
      <c r="DF60" s="45"/>
      <c r="DG60" s="45"/>
      <c r="DH60" s="45"/>
      <c r="DI60" s="45"/>
      <c r="DJ60" s="45"/>
      <c r="DN60" s="45"/>
      <c r="DO60" s="45"/>
      <c r="DP60" s="109" t="s">
        <v>298</v>
      </c>
      <c r="DR60" s="45"/>
      <c r="DS60" s="45"/>
      <c r="DT60" s="45"/>
      <c r="DU60" s="45"/>
      <c r="DV60" s="45"/>
      <c r="DW60" s="45"/>
      <c r="DX60" s="45"/>
      <c r="DY60" s="45"/>
      <c r="DZ60" s="45"/>
      <c r="EA60" s="45"/>
      <c r="EB60" s="45"/>
      <c r="EC60" s="470" t="s">
        <v>299</v>
      </c>
      <c r="ED60" s="45" t="s">
        <v>0</v>
      </c>
      <c r="EE60" s="958">
        <f>((EE58*EE56^2)+(EE59*EE57^2))/((EE58*EE56)+(EE59*EE57))</f>
        <v>12</v>
      </c>
      <c r="EF60" s="958"/>
      <c r="EG60" s="958"/>
      <c r="EH60" s="958"/>
      <c r="EI60" s="109"/>
      <c r="EJ60" s="266" t="s">
        <v>300</v>
      </c>
      <c r="EK60" s="45"/>
      <c r="EL60" s="45"/>
      <c r="EM60" s="45"/>
      <c r="EN60" s="45"/>
      <c r="EO60" s="45"/>
      <c r="EP60" s="45"/>
      <c r="EQ60" s="45"/>
      <c r="ER60" s="45"/>
      <c r="ES60" s="45"/>
      <c r="ET60" s="45"/>
      <c r="EU60" s="45"/>
      <c r="EV60" s="45"/>
      <c r="EW60" s="45"/>
    </row>
    <row r="61" spans="1:153" ht="17" x14ac:dyDescent="0.45">
      <c r="A61" s="45"/>
      <c r="B61" s="45"/>
      <c r="C61" s="109" t="s">
        <v>301</v>
      </c>
      <c r="E61" s="45"/>
      <c r="F61" s="45"/>
      <c r="G61" s="45"/>
      <c r="H61" s="45"/>
      <c r="I61" s="45"/>
      <c r="J61" s="45"/>
      <c r="K61" s="45"/>
      <c r="L61" s="45"/>
      <c r="M61" s="45"/>
      <c r="N61" s="45"/>
      <c r="O61" s="45"/>
      <c r="P61" s="109" t="s">
        <v>302</v>
      </c>
      <c r="Q61" s="45" t="s">
        <v>0</v>
      </c>
      <c r="R61" s="888">
        <v>0.8</v>
      </c>
      <c r="S61" s="888"/>
      <c r="T61" s="888"/>
      <c r="U61" s="888"/>
      <c r="V61" s="109"/>
      <c r="W61" s="45"/>
      <c r="X61" s="45"/>
      <c r="Y61" s="45"/>
      <c r="Z61" s="45"/>
      <c r="AA61" s="45"/>
      <c r="AB61" s="45"/>
      <c r="AC61" s="45"/>
      <c r="AD61" s="45"/>
      <c r="AE61" s="45"/>
      <c r="AF61" s="45"/>
      <c r="AG61" s="45"/>
      <c r="AH61" s="45"/>
      <c r="AI61" s="45"/>
      <c r="AJ61" s="45"/>
      <c r="AN61" s="45"/>
      <c r="AO61" s="45"/>
      <c r="AP61" s="109" t="s">
        <v>301</v>
      </c>
      <c r="AR61" s="45"/>
      <c r="AS61" s="45"/>
      <c r="AT61" s="45"/>
      <c r="AU61" s="45"/>
      <c r="AV61" s="45"/>
      <c r="AW61" s="45"/>
      <c r="AX61" s="45"/>
      <c r="AY61" s="45"/>
      <c r="AZ61" s="45"/>
      <c r="BA61" s="45"/>
      <c r="BB61" s="45"/>
      <c r="BC61" s="109" t="s">
        <v>302</v>
      </c>
      <c r="BD61" s="45" t="s">
        <v>0</v>
      </c>
      <c r="BE61" s="885">
        <f>R61</f>
        <v>0.8</v>
      </c>
      <c r="BF61" s="885"/>
      <c r="BG61" s="885"/>
      <c r="BH61" s="885"/>
      <c r="BI61" s="109"/>
      <c r="BJ61" s="45"/>
      <c r="BK61" s="45"/>
      <c r="BL61" s="45"/>
      <c r="BM61" s="45"/>
      <c r="BN61" s="45"/>
      <c r="BO61" s="45"/>
      <c r="BP61" s="45"/>
      <c r="BQ61" s="45"/>
      <c r="BR61" s="45"/>
      <c r="BS61" s="45"/>
      <c r="BT61" s="45"/>
      <c r="BU61" s="45"/>
      <c r="BV61" s="45"/>
      <c r="BW61" s="45"/>
      <c r="CA61" s="45"/>
      <c r="CB61" s="45"/>
      <c r="CC61" s="109" t="s">
        <v>301</v>
      </c>
      <c r="CE61" s="45"/>
      <c r="CF61" s="45"/>
      <c r="CG61" s="45"/>
      <c r="CH61" s="45"/>
      <c r="CI61" s="45"/>
      <c r="CJ61" s="45"/>
      <c r="CK61" s="45"/>
      <c r="CL61" s="45"/>
      <c r="CM61" s="45"/>
      <c r="CN61" s="45"/>
      <c r="CO61" s="45"/>
      <c r="CP61" s="109" t="s">
        <v>302</v>
      </c>
      <c r="CQ61" s="45" t="s">
        <v>0</v>
      </c>
      <c r="CR61" s="885">
        <f>BE61</f>
        <v>0.8</v>
      </c>
      <c r="CS61" s="885"/>
      <c r="CT61" s="885"/>
      <c r="CU61" s="885"/>
      <c r="CV61" s="109"/>
      <c r="CW61" s="45"/>
      <c r="CX61" s="45"/>
      <c r="CY61" s="45"/>
      <c r="CZ61" s="45"/>
      <c r="DA61" s="45"/>
      <c r="DB61" s="45"/>
      <c r="DC61" s="45"/>
      <c r="DD61" s="45"/>
      <c r="DE61" s="45"/>
      <c r="DF61" s="45"/>
      <c r="DG61" s="45"/>
      <c r="DH61" s="45"/>
      <c r="DI61" s="45"/>
      <c r="DJ61" s="45"/>
      <c r="DN61" s="45"/>
      <c r="DO61" s="45"/>
      <c r="DP61" s="109" t="s">
        <v>301</v>
      </c>
      <c r="DR61" s="45"/>
      <c r="DS61" s="45"/>
      <c r="DT61" s="45"/>
      <c r="DU61" s="45"/>
      <c r="DV61" s="45"/>
      <c r="DW61" s="45"/>
      <c r="DX61" s="45"/>
      <c r="DY61" s="45"/>
      <c r="DZ61" s="45"/>
      <c r="EA61" s="45"/>
      <c r="EB61" s="45"/>
      <c r="EC61" s="109" t="s">
        <v>302</v>
      </c>
      <c r="ED61" s="45" t="s">
        <v>0</v>
      </c>
      <c r="EE61" s="888">
        <v>0.8</v>
      </c>
      <c r="EF61" s="888"/>
      <c r="EG61" s="888"/>
      <c r="EH61" s="888"/>
      <c r="EI61" s="109"/>
      <c r="EJ61" s="45"/>
      <c r="EK61" s="45"/>
      <c r="EL61" s="45"/>
      <c r="EM61" s="45"/>
      <c r="EN61" s="45"/>
      <c r="EO61" s="45"/>
      <c r="EP61" s="45"/>
      <c r="EQ61" s="45"/>
      <c r="ER61" s="45"/>
      <c r="ES61" s="45"/>
      <c r="ET61" s="45"/>
      <c r="EU61" s="45"/>
      <c r="EV61" s="45"/>
      <c r="EW61" s="45"/>
    </row>
    <row r="62" spans="1:153" ht="17" x14ac:dyDescent="0.45">
      <c r="A62" s="45"/>
      <c r="B62" s="45"/>
      <c r="C62" s="109" t="s">
        <v>303</v>
      </c>
      <c r="E62" s="45"/>
      <c r="F62" s="45"/>
      <c r="G62" s="45"/>
      <c r="H62" s="45"/>
      <c r="I62" s="45"/>
      <c r="J62" s="45"/>
      <c r="K62" s="45"/>
      <c r="L62" s="45"/>
      <c r="M62" s="45"/>
      <c r="N62" s="45"/>
      <c r="O62" s="45"/>
      <c r="P62" s="109" t="s">
        <v>304</v>
      </c>
      <c r="Q62" s="45" t="s">
        <v>0</v>
      </c>
      <c r="R62" s="888">
        <v>0.5</v>
      </c>
      <c r="S62" s="888"/>
      <c r="T62" s="888"/>
      <c r="U62" s="888"/>
      <c r="V62" s="109"/>
      <c r="W62" s="45"/>
      <c r="X62" s="45"/>
      <c r="Y62" s="45"/>
      <c r="Z62" s="45"/>
      <c r="AA62" s="45"/>
      <c r="AB62" s="45"/>
      <c r="AC62" s="45"/>
      <c r="AD62" s="45"/>
      <c r="AE62" s="45"/>
      <c r="AF62" s="45"/>
      <c r="AG62" s="45"/>
      <c r="AH62" s="45"/>
      <c r="AI62" s="45"/>
      <c r="AJ62" s="45"/>
      <c r="AN62" s="45"/>
      <c r="AO62" s="45"/>
      <c r="AP62" s="109" t="s">
        <v>303</v>
      </c>
      <c r="AR62" s="45"/>
      <c r="AS62" s="45"/>
      <c r="AT62" s="45"/>
      <c r="AU62" s="45"/>
      <c r="AV62" s="45"/>
      <c r="AW62" s="45"/>
      <c r="AX62" s="45"/>
      <c r="AY62" s="45"/>
      <c r="AZ62" s="45"/>
      <c r="BA62" s="45"/>
      <c r="BB62" s="45"/>
      <c r="BC62" s="109" t="s">
        <v>304</v>
      </c>
      <c r="BD62" s="45" t="s">
        <v>0</v>
      </c>
      <c r="BE62" s="885">
        <f>R62</f>
        <v>0.5</v>
      </c>
      <c r="BF62" s="885"/>
      <c r="BG62" s="885"/>
      <c r="BH62" s="885"/>
      <c r="BI62" s="109"/>
      <c r="BJ62" s="45"/>
      <c r="BK62" s="45"/>
      <c r="BL62" s="45"/>
      <c r="BM62" s="45"/>
      <c r="BN62" s="45"/>
      <c r="BO62" s="45"/>
      <c r="BP62" s="45"/>
      <c r="BQ62" s="45"/>
      <c r="BR62" s="45"/>
      <c r="BS62" s="45"/>
      <c r="BT62" s="45"/>
      <c r="BU62" s="45"/>
      <c r="BV62" s="45"/>
      <c r="BW62" s="45"/>
      <c r="CA62" s="45"/>
      <c r="CB62" s="45"/>
      <c r="CC62" s="109" t="s">
        <v>303</v>
      </c>
      <c r="CE62" s="45"/>
      <c r="CF62" s="45"/>
      <c r="CG62" s="45"/>
      <c r="CH62" s="45"/>
      <c r="CI62" s="45"/>
      <c r="CJ62" s="45"/>
      <c r="CK62" s="45"/>
      <c r="CL62" s="45"/>
      <c r="CM62" s="45"/>
      <c r="CN62" s="45"/>
      <c r="CO62" s="45"/>
      <c r="CP62" s="109" t="s">
        <v>304</v>
      </c>
      <c r="CQ62" s="45" t="s">
        <v>0</v>
      </c>
      <c r="CR62" s="885">
        <f>BE62</f>
        <v>0.5</v>
      </c>
      <c r="CS62" s="885"/>
      <c r="CT62" s="885"/>
      <c r="CU62" s="885"/>
      <c r="CV62" s="109"/>
      <c r="CW62" s="45"/>
      <c r="CX62" s="45"/>
      <c r="CY62" s="45"/>
      <c r="CZ62" s="45"/>
      <c r="DA62" s="45"/>
      <c r="DB62" s="45"/>
      <c r="DC62" s="45"/>
      <c r="DD62" s="45"/>
      <c r="DE62" s="45"/>
      <c r="DF62" s="45"/>
      <c r="DG62" s="45"/>
      <c r="DH62" s="45"/>
      <c r="DI62" s="45"/>
      <c r="DJ62" s="45"/>
      <c r="DN62" s="45"/>
      <c r="DO62" s="45"/>
      <c r="DP62" s="109" t="s">
        <v>303</v>
      </c>
      <c r="DR62" s="45"/>
      <c r="DS62" s="45"/>
      <c r="DT62" s="45"/>
      <c r="DU62" s="45"/>
      <c r="DV62" s="45"/>
      <c r="DW62" s="45"/>
      <c r="DX62" s="45"/>
      <c r="DY62" s="45"/>
      <c r="DZ62" s="45"/>
      <c r="EA62" s="45"/>
      <c r="EB62" s="45"/>
      <c r="EC62" s="109" t="s">
        <v>304</v>
      </c>
      <c r="ED62" s="45" t="s">
        <v>0</v>
      </c>
      <c r="EE62" s="888">
        <v>0.5</v>
      </c>
      <c r="EF62" s="888"/>
      <c r="EG62" s="888"/>
      <c r="EH62" s="888"/>
      <c r="EI62" s="109"/>
      <c r="EJ62" s="45"/>
      <c r="EK62" s="45"/>
      <c r="EL62" s="45"/>
      <c r="EM62" s="45"/>
      <c r="EN62" s="45"/>
      <c r="EO62" s="45"/>
      <c r="EP62" s="45"/>
      <c r="EQ62" s="45"/>
      <c r="ER62" s="45"/>
      <c r="ES62" s="45"/>
      <c r="ET62" s="45"/>
      <c r="EU62" s="45"/>
      <c r="EV62" s="45"/>
      <c r="EW62" s="45"/>
    </row>
    <row r="63" spans="1:153" x14ac:dyDescent="0.35">
      <c r="A63" s="45"/>
      <c r="B63" s="45"/>
      <c r="C63" s="109" t="s">
        <v>305</v>
      </c>
      <c r="E63" s="45"/>
      <c r="F63" s="45"/>
      <c r="G63" s="45"/>
      <c r="H63" s="45"/>
      <c r="I63" s="45"/>
      <c r="J63" s="45"/>
      <c r="K63" s="45"/>
      <c r="L63" s="45"/>
      <c r="M63" s="45"/>
      <c r="N63" s="45"/>
      <c r="O63" s="45"/>
      <c r="P63" s="115" t="s">
        <v>41</v>
      </c>
      <c r="Q63" s="45" t="s">
        <v>0</v>
      </c>
      <c r="R63" s="959">
        <f>Design!AB375+Design!AB394</f>
        <v>1130.9733552923256</v>
      </c>
      <c r="S63" s="959"/>
      <c r="T63" s="959"/>
      <c r="U63" s="959"/>
      <c r="V63" s="959"/>
      <c r="W63" s="267"/>
      <c r="AI63" s="45"/>
      <c r="AJ63" s="45"/>
      <c r="AN63" s="45"/>
      <c r="AO63" s="45"/>
      <c r="AP63" s="109" t="s">
        <v>305</v>
      </c>
      <c r="AR63" s="45"/>
      <c r="AS63" s="45"/>
      <c r="AT63" s="45"/>
      <c r="AU63" s="45"/>
      <c r="AV63" s="45"/>
      <c r="AW63" s="45"/>
      <c r="AX63" s="45"/>
      <c r="AY63" s="45"/>
      <c r="AZ63" s="45"/>
      <c r="BA63" s="45"/>
      <c r="BB63" s="45"/>
      <c r="BC63" s="115" t="s">
        <v>41</v>
      </c>
      <c r="BD63" s="45" t="s">
        <v>0</v>
      </c>
      <c r="BE63" s="959">
        <f>Design!AB484</f>
        <v>785.39816339744834</v>
      </c>
      <c r="BF63" s="959"/>
      <c r="BG63" s="959"/>
      <c r="BH63" s="959"/>
      <c r="BI63" s="959"/>
      <c r="BJ63" s="267"/>
      <c r="BV63" s="45"/>
      <c r="BW63" s="45"/>
      <c r="CA63" s="45"/>
      <c r="CB63" s="45"/>
      <c r="CC63" s="109" t="s">
        <v>305</v>
      </c>
      <c r="CE63" s="45"/>
      <c r="CF63" s="45"/>
      <c r="CG63" s="45"/>
      <c r="CH63" s="45"/>
      <c r="CI63" s="45"/>
      <c r="CJ63" s="45"/>
      <c r="CK63" s="45"/>
      <c r="CL63" s="45"/>
      <c r="CM63" s="45"/>
      <c r="CN63" s="45"/>
      <c r="CO63" s="45"/>
      <c r="CP63" s="315" t="s">
        <v>41</v>
      </c>
      <c r="CQ63" s="45" t="s">
        <v>0</v>
      </c>
      <c r="CR63" s="959">
        <f>Design!AB602</f>
        <v>785.39816339744834</v>
      </c>
      <c r="CS63" s="959"/>
      <c r="CT63" s="959"/>
      <c r="CU63" s="959"/>
      <c r="CV63" s="959"/>
      <c r="CW63" s="267"/>
      <c r="DI63" s="45"/>
      <c r="DJ63" s="45"/>
      <c r="DN63" s="45"/>
      <c r="DO63" s="45"/>
      <c r="DP63" s="109" t="s">
        <v>305</v>
      </c>
      <c r="DR63" s="45"/>
      <c r="DS63" s="45"/>
      <c r="DT63" s="45"/>
      <c r="DU63" s="45"/>
      <c r="DV63" s="45"/>
      <c r="DW63" s="45"/>
      <c r="DX63" s="45"/>
      <c r="DY63" s="45"/>
      <c r="DZ63" s="45"/>
      <c r="EA63" s="45"/>
      <c r="EB63" s="45"/>
      <c r="EC63" s="470" t="s">
        <v>41</v>
      </c>
      <c r="ED63" s="45" t="s">
        <v>0</v>
      </c>
      <c r="EE63" s="959">
        <f>DZ31</f>
        <v>1130.9733552923256</v>
      </c>
      <c r="EF63" s="959"/>
      <c r="EG63" s="959"/>
      <c r="EH63" s="959"/>
      <c r="EI63" s="959"/>
      <c r="EJ63" s="267"/>
      <c r="EV63" s="45"/>
      <c r="EW63" s="45"/>
    </row>
    <row r="64" spans="1:153" x14ac:dyDescent="0.35">
      <c r="A64" s="45"/>
      <c r="B64" s="45"/>
      <c r="C64" s="109" t="s">
        <v>306</v>
      </c>
      <c r="E64" s="45"/>
      <c r="F64" s="45"/>
      <c r="G64" s="45"/>
      <c r="H64" s="45"/>
      <c r="I64" s="45"/>
      <c r="J64" s="45"/>
      <c r="K64" s="115"/>
      <c r="L64" s="45"/>
      <c r="M64" s="268"/>
      <c r="N64" s="268"/>
      <c r="O64" s="268"/>
      <c r="P64" s="115" t="s">
        <v>307</v>
      </c>
      <c r="Q64" s="268" t="s">
        <v>0</v>
      </c>
      <c r="R64" s="950">
        <f>Z14</f>
        <v>200000</v>
      </c>
      <c r="S64" s="950"/>
      <c r="T64" s="950"/>
      <c r="U64" s="950"/>
      <c r="V64" s="950"/>
      <c r="W64" s="269"/>
      <c r="AI64" s="45"/>
      <c r="AJ64" s="45"/>
      <c r="AN64" s="45"/>
      <c r="AO64" s="45"/>
      <c r="AP64" s="109" t="s">
        <v>306</v>
      </c>
      <c r="AR64" s="45"/>
      <c r="AS64" s="45"/>
      <c r="AT64" s="45"/>
      <c r="AU64" s="45"/>
      <c r="AV64" s="45"/>
      <c r="AW64" s="45"/>
      <c r="AX64" s="115"/>
      <c r="AY64" s="45"/>
      <c r="AZ64" s="268"/>
      <c r="BA64" s="268"/>
      <c r="BB64" s="268"/>
      <c r="BC64" s="115" t="s">
        <v>307</v>
      </c>
      <c r="BD64" s="268" t="s">
        <v>0</v>
      </c>
      <c r="BE64" s="950">
        <f>BM14</f>
        <v>200000</v>
      </c>
      <c r="BF64" s="950"/>
      <c r="BG64" s="950"/>
      <c r="BH64" s="950"/>
      <c r="BI64" s="950"/>
      <c r="BJ64" s="269"/>
      <c r="BV64" s="45"/>
      <c r="BW64" s="45"/>
      <c r="CA64" s="45"/>
      <c r="CB64" s="45"/>
      <c r="CC64" s="109" t="s">
        <v>306</v>
      </c>
      <c r="CE64" s="45"/>
      <c r="CF64" s="45"/>
      <c r="CG64" s="45"/>
      <c r="CH64" s="45"/>
      <c r="CI64" s="45"/>
      <c r="CJ64" s="45"/>
      <c r="CK64" s="315"/>
      <c r="CL64" s="45"/>
      <c r="CM64" s="268"/>
      <c r="CN64" s="268"/>
      <c r="CO64" s="268"/>
      <c r="CP64" s="315" t="s">
        <v>307</v>
      </c>
      <c r="CQ64" s="268" t="s">
        <v>0</v>
      </c>
      <c r="CR64" s="950">
        <f>CZ14</f>
        <v>200000</v>
      </c>
      <c r="CS64" s="950"/>
      <c r="CT64" s="950"/>
      <c r="CU64" s="950"/>
      <c r="CV64" s="950"/>
      <c r="CW64" s="269"/>
      <c r="DI64" s="45"/>
      <c r="DJ64" s="45"/>
      <c r="DN64" s="45"/>
      <c r="DO64" s="45"/>
      <c r="DP64" s="109" t="s">
        <v>306</v>
      </c>
      <c r="DR64" s="45"/>
      <c r="DS64" s="45"/>
      <c r="DT64" s="45"/>
      <c r="DU64" s="45"/>
      <c r="DV64" s="45"/>
      <c r="DW64" s="45"/>
      <c r="DX64" s="470"/>
      <c r="DY64" s="45"/>
      <c r="DZ64" s="268"/>
      <c r="EA64" s="268"/>
      <c r="EB64" s="268"/>
      <c r="EC64" s="470" t="s">
        <v>307</v>
      </c>
      <c r="ED64" s="268" t="s">
        <v>0</v>
      </c>
      <c r="EE64" s="950">
        <f>EM14</f>
        <v>200000</v>
      </c>
      <c r="EF64" s="950"/>
      <c r="EG64" s="950"/>
      <c r="EH64" s="950"/>
      <c r="EI64" s="950"/>
      <c r="EJ64" s="269"/>
      <c r="EV64" s="45"/>
      <c r="EW64" s="45"/>
    </row>
    <row r="65" spans="1:153" x14ac:dyDescent="0.35">
      <c r="A65" s="45"/>
      <c r="B65" s="45"/>
      <c r="C65" s="965" t="s">
        <v>308</v>
      </c>
      <c r="D65" s="965"/>
      <c r="E65" s="965"/>
      <c r="F65" s="965"/>
      <c r="G65" s="965"/>
      <c r="H65" s="965"/>
      <c r="I65" s="965"/>
      <c r="J65" s="965"/>
      <c r="K65" s="965"/>
      <c r="L65" s="965"/>
      <c r="M65" s="965"/>
      <c r="O65" s="267" t="s">
        <v>309</v>
      </c>
      <c r="P65" s="45"/>
      <c r="Q65" s="268" t="s">
        <v>0</v>
      </c>
      <c r="R65" s="966">
        <f>Z15</f>
        <v>30000</v>
      </c>
      <c r="S65" s="966"/>
      <c r="T65" s="966"/>
      <c r="U65" s="966"/>
      <c r="V65" s="966"/>
      <c r="W65" s="270" t="s">
        <v>310</v>
      </c>
      <c r="X65" s="269"/>
      <c r="Y65" s="269"/>
      <c r="Z65" s="45"/>
      <c r="AA65" s="45"/>
      <c r="AB65" s="45"/>
      <c r="AC65" s="45"/>
      <c r="AD65" s="45"/>
      <c r="AE65" s="45"/>
      <c r="AF65" s="45"/>
      <c r="AG65" s="45"/>
      <c r="AH65" s="45"/>
      <c r="AI65" s="45"/>
      <c r="AJ65" s="45"/>
      <c r="AN65" s="45"/>
      <c r="AO65" s="45"/>
      <c r="AP65" s="965" t="s">
        <v>308</v>
      </c>
      <c r="AQ65" s="965"/>
      <c r="AR65" s="965"/>
      <c r="AS65" s="965"/>
      <c r="AT65" s="965"/>
      <c r="AU65" s="965"/>
      <c r="AV65" s="965"/>
      <c r="AW65" s="965"/>
      <c r="AX65" s="965"/>
      <c r="AY65" s="965"/>
      <c r="AZ65" s="965"/>
      <c r="BB65" s="267" t="s">
        <v>309</v>
      </c>
      <c r="BC65" s="45"/>
      <c r="BD65" s="268" t="s">
        <v>0</v>
      </c>
      <c r="BE65" s="966">
        <f>BM15</f>
        <v>30000</v>
      </c>
      <c r="BF65" s="966"/>
      <c r="BG65" s="966"/>
      <c r="BH65" s="966"/>
      <c r="BI65" s="966"/>
      <c r="BJ65" s="270" t="s">
        <v>310</v>
      </c>
      <c r="BK65" s="269"/>
      <c r="BL65" s="269"/>
      <c r="BM65" s="45"/>
      <c r="BN65" s="45"/>
      <c r="BO65" s="45"/>
      <c r="BP65" s="45"/>
      <c r="BQ65" s="45"/>
      <c r="BR65" s="45"/>
      <c r="BS65" s="45"/>
      <c r="BT65" s="45"/>
      <c r="BU65" s="45"/>
      <c r="BV65" s="45"/>
      <c r="BW65" s="45"/>
      <c r="CA65" s="45"/>
      <c r="CB65" s="45"/>
      <c r="CC65" s="965" t="s">
        <v>308</v>
      </c>
      <c r="CD65" s="965"/>
      <c r="CE65" s="965"/>
      <c r="CF65" s="965"/>
      <c r="CG65" s="965"/>
      <c r="CH65" s="965"/>
      <c r="CI65" s="965"/>
      <c r="CJ65" s="965"/>
      <c r="CK65" s="965"/>
      <c r="CL65" s="965"/>
      <c r="CM65" s="965"/>
      <c r="CO65" s="267" t="s">
        <v>309</v>
      </c>
      <c r="CP65" s="45"/>
      <c r="CQ65" s="268" t="s">
        <v>0</v>
      </c>
      <c r="CR65" s="966">
        <f>CZ15</f>
        <v>30000</v>
      </c>
      <c r="CS65" s="966"/>
      <c r="CT65" s="966"/>
      <c r="CU65" s="966"/>
      <c r="CV65" s="966"/>
      <c r="CW65" s="270" t="s">
        <v>310</v>
      </c>
      <c r="CX65" s="269"/>
      <c r="CY65" s="269"/>
      <c r="CZ65" s="45"/>
      <c r="DA65" s="45"/>
      <c r="DB65" s="45"/>
      <c r="DC65" s="45"/>
      <c r="DD65" s="45"/>
      <c r="DE65" s="45"/>
      <c r="DF65" s="45"/>
      <c r="DG65" s="45"/>
      <c r="DH65" s="45"/>
      <c r="DI65" s="45"/>
      <c r="DJ65" s="45"/>
      <c r="DN65" s="45"/>
      <c r="DO65" s="45"/>
      <c r="DP65" s="965" t="s">
        <v>308</v>
      </c>
      <c r="DQ65" s="965"/>
      <c r="DR65" s="965"/>
      <c r="DS65" s="965"/>
      <c r="DT65" s="965"/>
      <c r="DU65" s="965"/>
      <c r="DV65" s="965"/>
      <c r="DW65" s="965"/>
      <c r="DX65" s="965"/>
      <c r="DY65" s="965"/>
      <c r="DZ65" s="965"/>
      <c r="EB65" s="267" t="s">
        <v>309</v>
      </c>
      <c r="EC65" s="45"/>
      <c r="ED65" s="268" t="s">
        <v>0</v>
      </c>
      <c r="EE65" s="966">
        <f>EM15</f>
        <v>30000</v>
      </c>
      <c r="EF65" s="966"/>
      <c r="EG65" s="966"/>
      <c r="EH65" s="966"/>
      <c r="EI65" s="966"/>
      <c r="EJ65" s="270" t="s">
        <v>310</v>
      </c>
      <c r="EK65" s="269"/>
      <c r="EL65" s="269"/>
      <c r="EM65" s="45"/>
      <c r="EN65" s="45"/>
      <c r="EO65" s="45"/>
      <c r="EP65" s="45"/>
      <c r="EQ65" s="45"/>
      <c r="ER65" s="45"/>
      <c r="ES65" s="45"/>
      <c r="ET65" s="45"/>
      <c r="EU65" s="45"/>
      <c r="EV65" s="45"/>
      <c r="EW65" s="45"/>
    </row>
    <row r="66" spans="1:153" x14ac:dyDescent="0.35">
      <c r="A66" s="45"/>
      <c r="B66" s="45"/>
      <c r="C66" s="965"/>
      <c r="D66" s="965"/>
      <c r="E66" s="965"/>
      <c r="F66" s="965"/>
      <c r="G66" s="965"/>
      <c r="H66" s="965"/>
      <c r="I66" s="965"/>
      <c r="J66" s="965"/>
      <c r="K66" s="965"/>
      <c r="L66" s="965"/>
      <c r="M66" s="965"/>
      <c r="O66" s="268"/>
      <c r="P66" s="268"/>
      <c r="Q66" s="268"/>
      <c r="R66" s="267"/>
      <c r="S66" s="267"/>
      <c r="T66" s="45"/>
      <c r="U66" s="45"/>
      <c r="V66" s="45"/>
      <c r="W66" s="45"/>
      <c r="X66" s="45"/>
      <c r="Y66" s="45"/>
      <c r="Z66" s="45"/>
      <c r="AA66" s="45"/>
      <c r="AB66" s="45"/>
      <c r="AC66" s="45"/>
      <c r="AD66" s="45"/>
      <c r="AE66" s="45"/>
      <c r="AF66" s="45"/>
      <c r="AG66" s="45"/>
      <c r="AH66" s="45"/>
      <c r="AI66" s="45"/>
      <c r="AJ66" s="45"/>
      <c r="AN66" s="45"/>
      <c r="AO66" s="45"/>
      <c r="AP66" s="965"/>
      <c r="AQ66" s="965"/>
      <c r="AR66" s="965"/>
      <c r="AS66" s="965"/>
      <c r="AT66" s="965"/>
      <c r="AU66" s="965"/>
      <c r="AV66" s="965"/>
      <c r="AW66" s="965"/>
      <c r="AX66" s="965"/>
      <c r="AY66" s="965"/>
      <c r="AZ66" s="965"/>
      <c r="BB66" s="268"/>
      <c r="BC66" s="268"/>
      <c r="BD66" s="268"/>
      <c r="BE66" s="267"/>
      <c r="BF66" s="267"/>
      <c r="BG66" s="45"/>
      <c r="BH66" s="45"/>
      <c r="BI66" s="45"/>
      <c r="BJ66" s="45"/>
      <c r="BK66" s="45"/>
      <c r="BL66" s="45"/>
      <c r="BM66" s="45"/>
      <c r="BN66" s="45"/>
      <c r="BO66" s="45"/>
      <c r="BP66" s="45"/>
      <c r="BQ66" s="45"/>
      <c r="BR66" s="45"/>
      <c r="BS66" s="45"/>
      <c r="BT66" s="45"/>
      <c r="BU66" s="45"/>
      <c r="BV66" s="45"/>
      <c r="BW66" s="45"/>
      <c r="CA66" s="45"/>
      <c r="CB66" s="45"/>
      <c r="CC66" s="965"/>
      <c r="CD66" s="965"/>
      <c r="CE66" s="965"/>
      <c r="CF66" s="965"/>
      <c r="CG66" s="965"/>
      <c r="CH66" s="965"/>
      <c r="CI66" s="965"/>
      <c r="CJ66" s="965"/>
      <c r="CK66" s="965"/>
      <c r="CL66" s="965"/>
      <c r="CM66" s="965"/>
      <c r="CO66" s="268"/>
      <c r="CP66" s="268"/>
      <c r="CQ66" s="268"/>
      <c r="CR66" s="267"/>
      <c r="CS66" s="267"/>
      <c r="CT66" s="45"/>
      <c r="CU66" s="45"/>
      <c r="CV66" s="45"/>
      <c r="CW66" s="45"/>
      <c r="CX66" s="45"/>
      <c r="CY66" s="45"/>
      <c r="CZ66" s="45"/>
      <c r="DA66" s="45"/>
      <c r="DB66" s="45"/>
      <c r="DC66" s="45"/>
      <c r="DD66" s="45"/>
      <c r="DE66" s="45"/>
      <c r="DF66" s="45"/>
      <c r="DG66" s="45"/>
      <c r="DH66" s="45"/>
      <c r="DI66" s="45"/>
      <c r="DJ66" s="45"/>
      <c r="DN66" s="45"/>
      <c r="DO66" s="45"/>
      <c r="DP66" s="965"/>
      <c r="DQ66" s="965"/>
      <c r="DR66" s="965"/>
      <c r="DS66" s="965"/>
      <c r="DT66" s="965"/>
      <c r="DU66" s="965"/>
      <c r="DV66" s="965"/>
      <c r="DW66" s="965"/>
      <c r="DX66" s="965"/>
      <c r="DY66" s="965"/>
      <c r="DZ66" s="965"/>
      <c r="EB66" s="268"/>
      <c r="EC66" s="268"/>
      <c r="ED66" s="268"/>
      <c r="EE66" s="267"/>
      <c r="EF66" s="267"/>
      <c r="EG66" s="45"/>
      <c r="EH66" s="45"/>
      <c r="EI66" s="45"/>
      <c r="EJ66" s="45"/>
      <c r="EK66" s="45"/>
      <c r="EL66" s="45"/>
      <c r="EM66" s="45"/>
      <c r="EN66" s="45"/>
      <c r="EO66" s="45"/>
      <c r="EP66" s="45"/>
      <c r="EQ66" s="45"/>
      <c r="ER66" s="45"/>
      <c r="ES66" s="45"/>
      <c r="ET66" s="45"/>
      <c r="EU66" s="45"/>
      <c r="EV66" s="45"/>
      <c r="EW66" s="45"/>
    </row>
    <row r="67" spans="1:153" x14ac:dyDescent="0.35">
      <c r="A67" s="45"/>
      <c r="B67" s="45"/>
      <c r="C67" s="109" t="s">
        <v>311</v>
      </c>
      <c r="E67" s="195"/>
      <c r="F67" s="195"/>
      <c r="G67" s="45"/>
      <c r="H67" s="195"/>
      <c r="I67" s="195"/>
      <c r="J67" s="195"/>
      <c r="K67" s="195"/>
      <c r="L67" s="195"/>
      <c r="M67" s="195"/>
      <c r="N67" s="195"/>
      <c r="O67" s="268"/>
      <c r="P67" s="268" t="s">
        <v>312</v>
      </c>
      <c r="Q67" s="268" t="s">
        <v>0</v>
      </c>
      <c r="R67" s="958">
        <f>M28</f>
        <v>500</v>
      </c>
      <c r="S67" s="958"/>
      <c r="T67" s="958"/>
      <c r="U67" s="958"/>
      <c r="V67" s="45"/>
      <c r="W67" s="45"/>
      <c r="X67" s="45"/>
      <c r="Y67" s="45"/>
      <c r="Z67" s="45"/>
      <c r="AA67" s="45"/>
      <c r="AB67" s="45"/>
      <c r="AC67" s="45"/>
      <c r="AD67" s="45"/>
      <c r="AE67" s="45"/>
      <c r="AF67" s="45"/>
      <c r="AG67" s="45"/>
      <c r="AH67" s="45"/>
      <c r="AI67" s="45"/>
      <c r="AJ67" s="45"/>
      <c r="AN67" s="45"/>
      <c r="AO67" s="45"/>
      <c r="AP67" s="109" t="s">
        <v>311</v>
      </c>
      <c r="AR67" s="195"/>
      <c r="AS67" s="195"/>
      <c r="AT67" s="45"/>
      <c r="AU67" s="195"/>
      <c r="AV67" s="195"/>
      <c r="AW67" s="195"/>
      <c r="AX67" s="195"/>
      <c r="AY67" s="195"/>
      <c r="AZ67" s="195"/>
      <c r="BA67" s="195"/>
      <c r="BB67" s="268"/>
      <c r="BC67" s="268" t="s">
        <v>312</v>
      </c>
      <c r="BD67" s="268" t="s">
        <v>0</v>
      </c>
      <c r="BE67" s="958">
        <f>AZ28</f>
        <v>550</v>
      </c>
      <c r="BF67" s="958"/>
      <c r="BG67" s="958"/>
      <c r="BH67" s="958"/>
      <c r="BI67" s="45"/>
      <c r="BJ67" s="45"/>
      <c r="BK67" s="45"/>
      <c r="BL67" s="45"/>
      <c r="BM67" s="45"/>
      <c r="BN67" s="45"/>
      <c r="BO67" s="45"/>
      <c r="BP67" s="45"/>
      <c r="BQ67" s="45"/>
      <c r="BR67" s="45"/>
      <c r="BS67" s="45"/>
      <c r="BT67" s="45"/>
      <c r="BU67" s="45"/>
      <c r="BV67" s="45"/>
      <c r="BW67" s="45"/>
      <c r="CA67" s="45"/>
      <c r="CB67" s="45"/>
      <c r="CC67" s="109" t="s">
        <v>311</v>
      </c>
      <c r="CE67" s="294"/>
      <c r="CF67" s="294"/>
      <c r="CG67" s="45"/>
      <c r="CH67" s="294"/>
      <c r="CI67" s="294"/>
      <c r="CJ67" s="294"/>
      <c r="CK67" s="294"/>
      <c r="CL67" s="294"/>
      <c r="CM67" s="294"/>
      <c r="CN67" s="294"/>
      <c r="CO67" s="268"/>
      <c r="CP67" s="268" t="s">
        <v>312</v>
      </c>
      <c r="CQ67" s="268" t="s">
        <v>0</v>
      </c>
      <c r="CR67" s="958">
        <f>CM28</f>
        <v>550</v>
      </c>
      <c r="CS67" s="958"/>
      <c r="CT67" s="958"/>
      <c r="CU67" s="958"/>
      <c r="CV67" s="45"/>
      <c r="CW67" s="45"/>
      <c r="CX67" s="45"/>
      <c r="CY67" s="45"/>
      <c r="CZ67" s="45"/>
      <c r="DA67" s="45"/>
      <c r="DB67" s="45"/>
      <c r="DC67" s="45"/>
      <c r="DD67" s="45"/>
      <c r="DE67" s="45"/>
      <c r="DF67" s="45"/>
      <c r="DG67" s="45"/>
      <c r="DH67" s="45"/>
      <c r="DI67" s="45"/>
      <c r="DJ67" s="45"/>
      <c r="DN67" s="45"/>
      <c r="DO67" s="45"/>
      <c r="DP67" s="109" t="s">
        <v>311</v>
      </c>
      <c r="DR67" s="471"/>
      <c r="DS67" s="471"/>
      <c r="DT67" s="45"/>
      <c r="DU67" s="471"/>
      <c r="DV67" s="471"/>
      <c r="DW67" s="471"/>
      <c r="DX67" s="471"/>
      <c r="DY67" s="471"/>
      <c r="DZ67" s="471"/>
      <c r="EA67" s="471"/>
      <c r="EB67" s="268"/>
      <c r="EC67" s="268" t="s">
        <v>312</v>
      </c>
      <c r="ED67" s="268" t="s">
        <v>0</v>
      </c>
      <c r="EE67" s="958">
        <f>DZ28</f>
        <v>550</v>
      </c>
      <c r="EF67" s="958"/>
      <c r="EG67" s="958"/>
      <c r="EH67" s="958"/>
      <c r="EI67" s="45"/>
      <c r="EJ67" s="45"/>
      <c r="EK67" s="45"/>
      <c r="EL67" s="45"/>
      <c r="EM67" s="45"/>
      <c r="EN67" s="45"/>
      <c r="EO67" s="45"/>
      <c r="EP67" s="45"/>
      <c r="EQ67" s="45"/>
      <c r="ER67" s="45"/>
      <c r="ES67" s="45"/>
      <c r="ET67" s="45"/>
      <c r="EU67" s="45"/>
      <c r="EV67" s="45"/>
      <c r="EW67" s="45"/>
    </row>
    <row r="68" spans="1:153" x14ac:dyDescent="0.35">
      <c r="A68" s="45"/>
      <c r="B68" s="45"/>
      <c r="C68" s="45" t="s">
        <v>313</v>
      </c>
      <c r="E68" s="45"/>
      <c r="F68" s="45"/>
      <c r="G68" s="45"/>
      <c r="H68" s="45"/>
      <c r="I68" s="45"/>
      <c r="J68" s="45"/>
      <c r="K68" s="115"/>
      <c r="L68" s="45"/>
      <c r="M68" s="268"/>
      <c r="N68" s="268"/>
      <c r="O68" s="268"/>
      <c r="P68" s="268" t="s">
        <v>30</v>
      </c>
      <c r="Q68" s="268" t="s">
        <v>0</v>
      </c>
      <c r="R68" s="958">
        <f>M27</f>
        <v>1000</v>
      </c>
      <c r="S68" s="958"/>
      <c r="T68" s="958"/>
      <c r="U68" s="958"/>
      <c r="V68" s="45"/>
      <c r="W68" s="45"/>
      <c r="X68" s="45"/>
      <c r="Y68" s="45"/>
      <c r="Z68" s="45"/>
      <c r="AA68" s="45"/>
      <c r="AB68" s="45"/>
      <c r="AC68" s="45"/>
      <c r="AD68" s="45"/>
      <c r="AE68" s="45"/>
      <c r="AF68" s="45"/>
      <c r="AG68" s="45"/>
      <c r="AH68" s="45"/>
      <c r="AI68" s="45"/>
      <c r="AJ68" s="45"/>
      <c r="AN68" s="45"/>
      <c r="AO68" s="45"/>
      <c r="AP68" s="45" t="s">
        <v>313</v>
      </c>
      <c r="AR68" s="45"/>
      <c r="AS68" s="45"/>
      <c r="AT68" s="45"/>
      <c r="AU68" s="45"/>
      <c r="AV68" s="45"/>
      <c r="AW68" s="45"/>
      <c r="AX68" s="115"/>
      <c r="AY68" s="45"/>
      <c r="AZ68" s="268"/>
      <c r="BA68" s="268"/>
      <c r="BB68" s="268"/>
      <c r="BC68" s="268" t="s">
        <v>30</v>
      </c>
      <c r="BD68" s="268" t="s">
        <v>0</v>
      </c>
      <c r="BE68" s="958">
        <f>AZ27</f>
        <v>1000</v>
      </c>
      <c r="BF68" s="958"/>
      <c r="BG68" s="958"/>
      <c r="BH68" s="958"/>
      <c r="BI68" s="45"/>
      <c r="BJ68" s="45"/>
      <c r="BK68" s="45"/>
      <c r="BL68" s="45"/>
      <c r="BM68" s="45"/>
      <c r="BN68" s="45"/>
      <c r="BO68" s="45"/>
      <c r="BP68" s="45"/>
      <c r="BQ68" s="45"/>
      <c r="BR68" s="45"/>
      <c r="BS68" s="45"/>
      <c r="BT68" s="45"/>
      <c r="BU68" s="45"/>
      <c r="BV68" s="45"/>
      <c r="BW68" s="45"/>
      <c r="CA68" s="45"/>
      <c r="CB68" s="45"/>
      <c r="CC68" s="45" t="s">
        <v>313</v>
      </c>
      <c r="CE68" s="45"/>
      <c r="CF68" s="45"/>
      <c r="CG68" s="45"/>
      <c r="CH68" s="45"/>
      <c r="CI68" s="45"/>
      <c r="CJ68" s="45"/>
      <c r="CK68" s="315"/>
      <c r="CL68" s="45"/>
      <c r="CM68" s="268"/>
      <c r="CN68" s="268"/>
      <c r="CO68" s="268"/>
      <c r="CP68" s="268" t="s">
        <v>30</v>
      </c>
      <c r="CQ68" s="268" t="s">
        <v>0</v>
      </c>
      <c r="CR68" s="958">
        <f>CM27</f>
        <v>1000</v>
      </c>
      <c r="CS68" s="958"/>
      <c r="CT68" s="958"/>
      <c r="CU68" s="958"/>
      <c r="CV68" s="45"/>
      <c r="CW68" s="45"/>
      <c r="CX68" s="45"/>
      <c r="CY68" s="45"/>
      <c r="CZ68" s="45"/>
      <c r="DA68" s="45"/>
      <c r="DB68" s="45"/>
      <c r="DC68" s="45"/>
      <c r="DD68" s="45"/>
      <c r="DE68" s="45"/>
      <c r="DF68" s="45"/>
      <c r="DG68" s="45"/>
      <c r="DH68" s="45"/>
      <c r="DI68" s="45"/>
      <c r="DJ68" s="45"/>
      <c r="DN68" s="45"/>
      <c r="DO68" s="45"/>
      <c r="DP68" s="45" t="s">
        <v>313</v>
      </c>
      <c r="DR68" s="45"/>
      <c r="DS68" s="45"/>
      <c r="DT68" s="45"/>
      <c r="DU68" s="45"/>
      <c r="DV68" s="45"/>
      <c r="DW68" s="45"/>
      <c r="DX68" s="470"/>
      <c r="DY68" s="45"/>
      <c r="DZ68" s="268"/>
      <c r="EA68" s="268"/>
      <c r="EB68" s="268"/>
      <c r="EC68" s="268" t="s">
        <v>30</v>
      </c>
      <c r="ED68" s="268" t="s">
        <v>0</v>
      </c>
      <c r="EE68" s="958">
        <f>DZ27</f>
        <v>1000</v>
      </c>
      <c r="EF68" s="958"/>
      <c r="EG68" s="958"/>
      <c r="EH68" s="958"/>
      <c r="EI68" s="45"/>
      <c r="EJ68" s="45"/>
      <c r="EK68" s="45"/>
      <c r="EL68" s="45"/>
      <c r="EM68" s="45"/>
      <c r="EN68" s="45"/>
      <c r="EO68" s="45"/>
      <c r="EP68" s="45"/>
      <c r="EQ68" s="45"/>
      <c r="ER68" s="45"/>
      <c r="ES68" s="45"/>
      <c r="ET68" s="45"/>
      <c r="EU68" s="45"/>
      <c r="EV68" s="45"/>
      <c r="EW68" s="45"/>
    </row>
    <row r="69" spans="1:153" x14ac:dyDescent="0.35">
      <c r="A69" s="45"/>
      <c r="B69" s="45"/>
      <c r="C69" s="45" t="s">
        <v>314</v>
      </c>
      <c r="E69" s="45"/>
      <c r="F69" s="45"/>
      <c r="G69" s="45"/>
      <c r="H69" s="45"/>
      <c r="I69" s="45"/>
      <c r="J69" s="45"/>
      <c r="K69" s="115"/>
      <c r="L69" s="45"/>
      <c r="M69" s="268"/>
      <c r="N69" s="268"/>
      <c r="O69" s="268"/>
      <c r="P69" s="45" t="s">
        <v>37</v>
      </c>
      <c r="Q69" s="45" t="s">
        <v>0</v>
      </c>
      <c r="R69" s="958">
        <f>M29</f>
        <v>419</v>
      </c>
      <c r="S69" s="958"/>
      <c r="T69" s="958"/>
      <c r="U69" s="958"/>
      <c r="V69" s="45"/>
      <c r="W69" s="45"/>
      <c r="X69" s="45"/>
      <c r="Y69" s="45"/>
      <c r="Z69" s="45"/>
      <c r="AA69" s="45"/>
      <c r="AB69" s="45"/>
      <c r="AC69" s="45"/>
      <c r="AD69" s="45"/>
      <c r="AE69" s="45"/>
      <c r="AF69" s="45"/>
      <c r="AG69" s="45"/>
      <c r="AH69" s="45"/>
      <c r="AI69" s="45"/>
      <c r="AJ69" s="45"/>
      <c r="AN69" s="45"/>
      <c r="AO69" s="45"/>
      <c r="AP69" s="45" t="s">
        <v>314</v>
      </c>
      <c r="AR69" s="45"/>
      <c r="AS69" s="45"/>
      <c r="AT69" s="45"/>
      <c r="AU69" s="45"/>
      <c r="AV69" s="45"/>
      <c r="AW69" s="45"/>
      <c r="AX69" s="115"/>
      <c r="AY69" s="45"/>
      <c r="AZ69" s="268"/>
      <c r="BA69" s="268"/>
      <c r="BB69" s="268"/>
      <c r="BC69" s="45" t="s">
        <v>37</v>
      </c>
      <c r="BD69" s="45" t="s">
        <v>0</v>
      </c>
      <c r="BE69" s="958">
        <f>AZ29</f>
        <v>470</v>
      </c>
      <c r="BF69" s="958"/>
      <c r="BG69" s="958"/>
      <c r="BH69" s="958"/>
      <c r="BI69" s="45"/>
      <c r="BJ69" s="45"/>
      <c r="BK69" s="45"/>
      <c r="BL69" s="45"/>
      <c r="BM69" s="45"/>
      <c r="BN69" s="45"/>
      <c r="BO69" s="45"/>
      <c r="BP69" s="45"/>
      <c r="BQ69" s="45"/>
      <c r="BR69" s="45"/>
      <c r="BS69" s="45"/>
      <c r="BT69" s="45"/>
      <c r="BU69" s="45"/>
      <c r="BV69" s="45"/>
      <c r="BW69" s="45"/>
      <c r="CA69" s="45"/>
      <c r="CB69" s="45"/>
      <c r="CC69" s="45" t="s">
        <v>314</v>
      </c>
      <c r="CE69" s="45"/>
      <c r="CF69" s="45"/>
      <c r="CG69" s="45"/>
      <c r="CH69" s="45"/>
      <c r="CI69" s="45"/>
      <c r="CJ69" s="45"/>
      <c r="CK69" s="315"/>
      <c r="CL69" s="45"/>
      <c r="CM69" s="268"/>
      <c r="CN69" s="268"/>
      <c r="CO69" s="268"/>
      <c r="CP69" s="45" t="s">
        <v>37</v>
      </c>
      <c r="CQ69" s="45" t="s">
        <v>0</v>
      </c>
      <c r="CR69" s="958">
        <f>CM29</f>
        <v>470</v>
      </c>
      <c r="CS69" s="958"/>
      <c r="CT69" s="958"/>
      <c r="CU69" s="958"/>
      <c r="CV69" s="45"/>
      <c r="CW69" s="45"/>
      <c r="CX69" s="45"/>
      <c r="CY69" s="45"/>
      <c r="CZ69" s="45"/>
      <c r="DA69" s="45"/>
      <c r="DB69" s="45"/>
      <c r="DC69" s="45"/>
      <c r="DD69" s="45"/>
      <c r="DE69" s="45"/>
      <c r="DF69" s="45"/>
      <c r="DG69" s="45"/>
      <c r="DH69" s="45"/>
      <c r="DI69" s="45"/>
      <c r="DJ69" s="45"/>
      <c r="DN69" s="45"/>
      <c r="DO69" s="45"/>
      <c r="DP69" s="45" t="s">
        <v>314</v>
      </c>
      <c r="DR69" s="45"/>
      <c r="DS69" s="45"/>
      <c r="DT69" s="45"/>
      <c r="DU69" s="45"/>
      <c r="DV69" s="45"/>
      <c r="DW69" s="45"/>
      <c r="DX69" s="470"/>
      <c r="DY69" s="45"/>
      <c r="DZ69" s="268"/>
      <c r="EA69" s="268"/>
      <c r="EB69" s="268"/>
      <c r="EC69" s="45" t="s">
        <v>37</v>
      </c>
      <c r="ED69" s="45" t="s">
        <v>0</v>
      </c>
      <c r="EE69" s="958">
        <f>DZ29</f>
        <v>469</v>
      </c>
      <c r="EF69" s="958"/>
      <c r="EG69" s="958"/>
      <c r="EH69" s="958"/>
      <c r="EI69" s="45"/>
      <c r="EJ69" s="45"/>
      <c r="EK69" s="45"/>
      <c r="EL69" s="45"/>
      <c r="EM69" s="45"/>
      <c r="EN69" s="45"/>
      <c r="EO69" s="45"/>
      <c r="EP69" s="45"/>
      <c r="EQ69" s="45"/>
      <c r="ER69" s="45"/>
      <c r="ES69" s="45"/>
      <c r="ET69" s="45"/>
      <c r="EU69" s="45"/>
      <c r="EV69" s="45"/>
      <c r="EW69" s="45"/>
    </row>
    <row r="70" spans="1:153" x14ac:dyDescent="0.35">
      <c r="A70" s="45"/>
      <c r="B70" s="45"/>
      <c r="C70" s="271" t="s">
        <v>315</v>
      </c>
      <c r="E70" s="271"/>
      <c r="F70" s="271"/>
      <c r="G70" s="271"/>
      <c r="H70" s="271"/>
      <c r="I70" s="271"/>
      <c r="J70" s="271"/>
      <c r="K70" s="271"/>
      <c r="L70" s="271"/>
      <c r="M70" s="271"/>
      <c r="N70" s="271"/>
      <c r="O70" s="268"/>
      <c r="P70" s="45" t="s">
        <v>21</v>
      </c>
      <c r="Q70" s="45" t="s">
        <v>0</v>
      </c>
      <c r="R70" s="958">
        <f>M32</f>
        <v>79.599999999999994</v>
      </c>
      <c r="S70" s="958"/>
      <c r="T70" s="958"/>
      <c r="U70" s="958"/>
      <c r="V70" s="45"/>
      <c r="W70" s="45"/>
      <c r="X70" s="45"/>
      <c r="Y70" s="45"/>
      <c r="Z70" s="45"/>
      <c r="AA70" s="45"/>
      <c r="AB70" s="45"/>
      <c r="AC70" s="45"/>
      <c r="AD70" s="45"/>
      <c r="AE70" s="45"/>
      <c r="AF70" s="45"/>
      <c r="AG70" s="45"/>
      <c r="AH70" s="45"/>
      <c r="AI70" s="45"/>
      <c r="AJ70" s="45"/>
      <c r="AN70" s="45"/>
      <c r="AO70" s="45"/>
      <c r="AP70" s="271" t="s">
        <v>315</v>
      </c>
      <c r="AR70" s="271"/>
      <c r="AS70" s="271"/>
      <c r="AT70" s="271"/>
      <c r="AU70" s="271"/>
      <c r="AV70" s="271"/>
      <c r="AW70" s="271"/>
      <c r="AX70" s="271"/>
      <c r="AY70" s="271"/>
      <c r="AZ70" s="271"/>
      <c r="BA70" s="271"/>
      <c r="BB70" s="268"/>
      <c r="BC70" s="45" t="s">
        <v>21</v>
      </c>
      <c r="BD70" s="45" t="s">
        <v>0</v>
      </c>
      <c r="BE70" s="958">
        <f>AZ32</f>
        <v>70.8</v>
      </c>
      <c r="BF70" s="958"/>
      <c r="BG70" s="958"/>
      <c r="BH70" s="958"/>
      <c r="BI70" s="45"/>
      <c r="BJ70" s="45"/>
      <c r="BK70" s="45"/>
      <c r="BL70" s="45"/>
      <c r="BM70" s="45"/>
      <c r="BN70" s="45"/>
      <c r="BO70" s="45"/>
      <c r="BP70" s="45"/>
      <c r="BQ70" s="45"/>
      <c r="BR70" s="45"/>
      <c r="BS70" s="45"/>
      <c r="BT70" s="45"/>
      <c r="BU70" s="45"/>
      <c r="BV70" s="45"/>
      <c r="BW70" s="45"/>
      <c r="CA70" s="45"/>
      <c r="CB70" s="45"/>
      <c r="CC70" s="271" t="s">
        <v>315</v>
      </c>
      <c r="CE70" s="271"/>
      <c r="CF70" s="271"/>
      <c r="CG70" s="271"/>
      <c r="CH70" s="271"/>
      <c r="CI70" s="271"/>
      <c r="CJ70" s="271"/>
      <c r="CK70" s="271"/>
      <c r="CL70" s="271"/>
      <c r="CM70" s="271"/>
      <c r="CN70" s="271"/>
      <c r="CO70" s="268"/>
      <c r="CP70" s="45" t="s">
        <v>21</v>
      </c>
      <c r="CQ70" s="45" t="s">
        <v>0</v>
      </c>
      <c r="CR70" s="958">
        <f>CM32</f>
        <v>70.8</v>
      </c>
      <c r="CS70" s="958"/>
      <c r="CT70" s="958"/>
      <c r="CU70" s="958"/>
      <c r="CV70" s="45"/>
      <c r="CW70" s="45"/>
      <c r="CX70" s="45"/>
      <c r="CY70" s="45"/>
      <c r="CZ70" s="45"/>
      <c r="DA70" s="45"/>
      <c r="DB70" s="45"/>
      <c r="DC70" s="45"/>
      <c r="DD70" s="45"/>
      <c r="DE70" s="45"/>
      <c r="DF70" s="45"/>
      <c r="DG70" s="45"/>
      <c r="DH70" s="45"/>
      <c r="DI70" s="45"/>
      <c r="DJ70" s="45"/>
      <c r="DN70" s="45"/>
      <c r="DO70" s="45"/>
      <c r="DP70" s="271" t="s">
        <v>315</v>
      </c>
      <c r="DR70" s="271"/>
      <c r="DS70" s="271"/>
      <c r="DT70" s="271"/>
      <c r="DU70" s="271"/>
      <c r="DV70" s="271"/>
      <c r="DW70" s="271"/>
      <c r="DX70" s="271"/>
      <c r="DY70" s="271"/>
      <c r="DZ70" s="271"/>
      <c r="EA70" s="271"/>
      <c r="EB70" s="268"/>
      <c r="EC70" s="45" t="s">
        <v>21</v>
      </c>
      <c r="ED70" s="45" t="s">
        <v>0</v>
      </c>
      <c r="EE70" s="958">
        <f>DZ32</f>
        <v>83.8</v>
      </c>
      <c r="EF70" s="958"/>
      <c r="EG70" s="958"/>
      <c r="EH70" s="958"/>
      <c r="EI70" s="45"/>
      <c r="EJ70" s="45"/>
      <c r="EK70" s="45"/>
      <c r="EL70" s="45"/>
      <c r="EM70" s="45"/>
      <c r="EN70" s="45"/>
      <c r="EO70" s="45"/>
      <c r="EP70" s="45"/>
      <c r="EQ70" s="45"/>
      <c r="ER70" s="45"/>
      <c r="ES70" s="45"/>
      <c r="ET70" s="45"/>
      <c r="EU70" s="45"/>
      <c r="EV70" s="45"/>
      <c r="EW70" s="45"/>
    </row>
    <row r="71" spans="1:153" ht="6.75" customHeight="1" x14ac:dyDescent="0.35">
      <c r="A71" s="45"/>
      <c r="B71" s="45"/>
      <c r="C71" s="45"/>
      <c r="D71" s="271"/>
      <c r="E71" s="271"/>
      <c r="F71" s="271"/>
      <c r="G71" s="271"/>
      <c r="H71" s="271"/>
      <c r="I71" s="271"/>
      <c r="J71" s="271"/>
      <c r="K71" s="271"/>
      <c r="L71" s="271"/>
      <c r="M71" s="271"/>
      <c r="N71" s="271"/>
      <c r="O71" s="268"/>
      <c r="P71" s="45"/>
      <c r="Q71" s="45"/>
      <c r="R71" s="272"/>
      <c r="S71" s="272"/>
      <c r="T71" s="272"/>
      <c r="U71" s="272"/>
      <c r="V71" s="45"/>
      <c r="W71" s="45"/>
      <c r="X71" s="45"/>
      <c r="Y71" s="45"/>
      <c r="Z71" s="45"/>
      <c r="AA71" s="45"/>
      <c r="AB71" s="45"/>
      <c r="AC71" s="45"/>
      <c r="AD71" s="45"/>
      <c r="AE71" s="45"/>
      <c r="AF71" s="45"/>
      <c r="AG71" s="45"/>
      <c r="AH71" s="45"/>
      <c r="AI71" s="45"/>
      <c r="AJ71" s="45"/>
      <c r="AN71" s="45"/>
      <c r="AO71" s="45"/>
      <c r="AP71" s="45"/>
      <c r="AQ71" s="271"/>
      <c r="AR71" s="271"/>
      <c r="AS71" s="271"/>
      <c r="AT71" s="271"/>
      <c r="AU71" s="271"/>
      <c r="AV71" s="271"/>
      <c r="AW71" s="271"/>
      <c r="AX71" s="271"/>
      <c r="AY71" s="271"/>
      <c r="AZ71" s="271"/>
      <c r="BA71" s="271"/>
      <c r="BB71" s="268"/>
      <c r="BC71" s="45"/>
      <c r="BD71" s="45"/>
      <c r="BE71" s="272"/>
      <c r="BF71" s="272"/>
      <c r="BG71" s="272"/>
      <c r="BH71" s="272"/>
      <c r="BI71" s="45"/>
      <c r="BJ71" s="45"/>
      <c r="BK71" s="45"/>
      <c r="BL71" s="45"/>
      <c r="BM71" s="45"/>
      <c r="BN71" s="45"/>
      <c r="BO71" s="45"/>
      <c r="BP71" s="45"/>
      <c r="BQ71" s="45"/>
      <c r="BR71" s="45"/>
      <c r="BS71" s="45"/>
      <c r="BT71" s="45"/>
      <c r="BU71" s="45"/>
      <c r="BV71" s="45"/>
      <c r="BW71" s="45"/>
      <c r="CA71" s="45"/>
      <c r="CB71" s="45"/>
      <c r="CC71" s="45"/>
      <c r="CD71" s="271"/>
      <c r="CE71" s="271"/>
      <c r="CF71" s="271"/>
      <c r="CG71" s="271"/>
      <c r="CH71" s="271"/>
      <c r="CI71" s="271"/>
      <c r="CJ71" s="271"/>
      <c r="CK71" s="271"/>
      <c r="CL71" s="271"/>
      <c r="CM71" s="271"/>
      <c r="CN71" s="271"/>
      <c r="CO71" s="268"/>
      <c r="CP71" s="45"/>
      <c r="CQ71" s="45"/>
      <c r="CR71" s="314"/>
      <c r="CS71" s="314"/>
      <c r="CT71" s="314"/>
      <c r="CU71" s="314"/>
      <c r="CV71" s="45"/>
      <c r="CW71" s="45"/>
      <c r="CX71" s="45"/>
      <c r="CY71" s="45"/>
      <c r="CZ71" s="45"/>
      <c r="DA71" s="45"/>
      <c r="DB71" s="45"/>
      <c r="DC71" s="45"/>
      <c r="DD71" s="45"/>
      <c r="DE71" s="45"/>
      <c r="DF71" s="45"/>
      <c r="DG71" s="45"/>
      <c r="DH71" s="45"/>
      <c r="DI71" s="45"/>
      <c r="DJ71" s="45"/>
      <c r="DN71" s="45"/>
      <c r="DO71" s="45"/>
      <c r="DP71" s="45"/>
      <c r="DQ71" s="271"/>
      <c r="DR71" s="271"/>
      <c r="DS71" s="271"/>
      <c r="DT71" s="271"/>
      <c r="DU71" s="271"/>
      <c r="DV71" s="271"/>
      <c r="DW71" s="271"/>
      <c r="DX71" s="271"/>
      <c r="DY71" s="271"/>
      <c r="DZ71" s="271"/>
      <c r="EA71" s="271"/>
      <c r="EB71" s="268"/>
      <c r="EC71" s="45"/>
      <c r="ED71" s="45"/>
      <c r="EE71" s="469"/>
      <c r="EF71" s="469"/>
      <c r="EG71" s="469"/>
      <c r="EH71" s="469"/>
      <c r="EI71" s="45"/>
      <c r="EJ71" s="45"/>
      <c r="EK71" s="45"/>
      <c r="EL71" s="45"/>
      <c r="EM71" s="45"/>
      <c r="EN71" s="45"/>
      <c r="EO71" s="45"/>
      <c r="EP71" s="45"/>
      <c r="EQ71" s="45"/>
      <c r="ER71" s="45"/>
      <c r="ES71" s="45"/>
      <c r="ET71" s="45"/>
      <c r="EU71" s="45"/>
      <c r="EV71" s="45"/>
      <c r="EW71" s="45"/>
    </row>
    <row r="72" spans="1:153" ht="4.5" customHeight="1" x14ac:dyDescent="0.35">
      <c r="A72" s="45"/>
      <c r="B72" s="45"/>
      <c r="C72" s="45"/>
      <c r="D72" s="271"/>
      <c r="E72" s="271"/>
      <c r="F72" s="271"/>
      <c r="G72" s="271"/>
      <c r="H72" s="271"/>
      <c r="I72" s="271"/>
      <c r="J72" s="271"/>
      <c r="K72" s="271"/>
      <c r="L72" s="271"/>
      <c r="M72" s="271"/>
      <c r="N72" s="271"/>
      <c r="O72" s="268"/>
      <c r="P72" s="45"/>
      <c r="Q72" s="45"/>
      <c r="R72" s="272"/>
      <c r="S72" s="272"/>
      <c r="T72" s="272"/>
      <c r="U72" s="272"/>
      <c r="V72" s="45"/>
      <c r="W72" s="45"/>
      <c r="X72" s="45"/>
      <c r="Y72" s="45"/>
      <c r="Z72" s="45"/>
      <c r="AA72" s="45"/>
      <c r="AB72" s="45"/>
      <c r="AC72" s="45"/>
      <c r="AD72" s="45"/>
      <c r="AE72" s="45"/>
      <c r="AF72" s="45"/>
      <c r="AG72" s="45"/>
      <c r="AH72" s="45"/>
      <c r="AI72" s="45"/>
      <c r="AJ72" s="45"/>
      <c r="AN72" s="45"/>
      <c r="AO72" s="45"/>
      <c r="AP72" s="45"/>
      <c r="AQ72" s="271"/>
      <c r="AR72" s="271"/>
      <c r="AS72" s="271"/>
      <c r="AT72" s="271"/>
      <c r="AU72" s="271"/>
      <c r="AV72" s="271"/>
      <c r="AW72" s="271"/>
      <c r="AX72" s="271"/>
      <c r="AY72" s="271"/>
      <c r="AZ72" s="271"/>
      <c r="BA72" s="271"/>
      <c r="BB72" s="268"/>
      <c r="BC72" s="45"/>
      <c r="BD72" s="45"/>
      <c r="BE72" s="272"/>
      <c r="BF72" s="272"/>
      <c r="BG72" s="272"/>
      <c r="BH72" s="272"/>
      <c r="BI72" s="45"/>
      <c r="BJ72" s="45"/>
      <c r="BK72" s="45"/>
      <c r="BL72" s="45"/>
      <c r="BM72" s="45"/>
      <c r="BN72" s="45"/>
      <c r="BO72" s="45"/>
      <c r="BP72" s="45"/>
      <c r="BQ72" s="45"/>
      <c r="BR72" s="45"/>
      <c r="BS72" s="45"/>
      <c r="BT72" s="45"/>
      <c r="BU72" s="45"/>
      <c r="BV72" s="45"/>
      <c r="BW72" s="45"/>
      <c r="CA72" s="45"/>
      <c r="CB72" s="45"/>
      <c r="CC72" s="45"/>
      <c r="CD72" s="271"/>
      <c r="CE72" s="271"/>
      <c r="CF72" s="271"/>
      <c r="CG72" s="271"/>
      <c r="CH72" s="271"/>
      <c r="CI72" s="271"/>
      <c r="CJ72" s="271"/>
      <c r="CK72" s="271"/>
      <c r="CL72" s="271"/>
      <c r="CM72" s="271"/>
      <c r="CN72" s="271"/>
      <c r="CO72" s="268"/>
      <c r="CP72" s="45"/>
      <c r="CQ72" s="45"/>
      <c r="CR72" s="314"/>
      <c r="CS72" s="314"/>
      <c r="CT72" s="314"/>
      <c r="CU72" s="314"/>
      <c r="CV72" s="45"/>
      <c r="CW72" s="45"/>
      <c r="CX72" s="45"/>
      <c r="CY72" s="45"/>
      <c r="CZ72" s="45"/>
      <c r="DA72" s="45"/>
      <c r="DB72" s="45"/>
      <c r="DC72" s="45"/>
      <c r="DD72" s="45"/>
      <c r="DE72" s="45"/>
      <c r="DF72" s="45"/>
      <c r="DG72" s="45"/>
      <c r="DH72" s="45"/>
      <c r="DI72" s="45"/>
      <c r="DJ72" s="45"/>
      <c r="DN72" s="45"/>
      <c r="DO72" s="45"/>
      <c r="DP72" s="45"/>
      <c r="DQ72" s="271"/>
      <c r="DR72" s="271"/>
      <c r="DS72" s="271"/>
      <c r="DT72" s="271"/>
      <c r="DU72" s="271"/>
      <c r="DV72" s="271"/>
      <c r="DW72" s="271"/>
      <c r="DX72" s="271"/>
      <c r="DY72" s="271"/>
      <c r="DZ72" s="271"/>
      <c r="EA72" s="271"/>
      <c r="EB72" s="268"/>
      <c r="EC72" s="45"/>
      <c r="ED72" s="45"/>
      <c r="EE72" s="469"/>
      <c r="EF72" s="469"/>
      <c r="EG72" s="469"/>
      <c r="EH72" s="469"/>
      <c r="EI72" s="45"/>
      <c r="EJ72" s="45"/>
      <c r="EK72" s="45"/>
      <c r="EL72" s="45"/>
      <c r="EM72" s="45"/>
      <c r="EN72" s="45"/>
      <c r="EO72" s="45"/>
      <c r="EP72" s="45"/>
      <c r="EQ72" s="45"/>
      <c r="ER72" s="45"/>
      <c r="ES72" s="45"/>
      <c r="ET72" s="45"/>
      <c r="EU72" s="45"/>
      <c r="EV72" s="45"/>
      <c r="EW72" s="45"/>
    </row>
    <row r="73" spans="1:153" ht="17" x14ac:dyDescent="0.35">
      <c r="A73" s="45"/>
      <c r="B73" s="45"/>
      <c r="C73" s="271"/>
      <c r="D73" s="273" t="s">
        <v>316</v>
      </c>
      <c r="F73" s="268" t="s">
        <v>0</v>
      </c>
      <c r="G73" s="271" t="s">
        <v>317</v>
      </c>
      <c r="H73" s="271"/>
      <c r="I73" s="271"/>
      <c r="J73" s="271"/>
      <c r="K73" s="271" t="s">
        <v>318</v>
      </c>
      <c r="L73" s="271"/>
      <c r="M73" s="271"/>
      <c r="N73" s="271"/>
      <c r="O73" s="268"/>
      <c r="P73" s="45"/>
      <c r="Q73" s="45" t="s">
        <v>0</v>
      </c>
      <c r="R73" s="958">
        <f>2.5*(R67-R69)</f>
        <v>202.5</v>
      </c>
      <c r="S73" s="958"/>
      <c r="T73" s="958"/>
      <c r="U73" s="958"/>
      <c r="V73" s="45"/>
      <c r="W73" s="45"/>
      <c r="X73" s="45"/>
      <c r="Y73" s="45"/>
      <c r="Z73" s="45"/>
      <c r="AA73" s="45"/>
      <c r="AB73" s="45"/>
      <c r="AC73" s="45"/>
      <c r="AD73" s="45"/>
      <c r="AE73" s="45"/>
      <c r="AF73" s="45"/>
      <c r="AG73" s="45"/>
      <c r="AH73" s="45"/>
      <c r="AI73" s="45"/>
      <c r="AJ73" s="45"/>
      <c r="AN73" s="45"/>
      <c r="AO73" s="45"/>
      <c r="AP73" s="271"/>
      <c r="AQ73" s="273" t="s">
        <v>316</v>
      </c>
      <c r="AS73" s="268" t="s">
        <v>0</v>
      </c>
      <c r="AT73" s="271" t="s">
        <v>317</v>
      </c>
      <c r="AU73" s="271"/>
      <c r="AV73" s="271"/>
      <c r="AW73" s="271"/>
      <c r="AX73" s="271" t="s">
        <v>318</v>
      </c>
      <c r="AY73" s="271"/>
      <c r="AZ73" s="271"/>
      <c r="BA73" s="271"/>
      <c r="BB73" s="268"/>
      <c r="BC73" s="45"/>
      <c r="BD73" s="45" t="s">
        <v>0</v>
      </c>
      <c r="BE73" s="958">
        <f>2.5*(BE67-BE69)</f>
        <v>200</v>
      </c>
      <c r="BF73" s="958"/>
      <c r="BG73" s="958"/>
      <c r="BH73" s="958"/>
      <c r="BI73" s="45"/>
      <c r="BJ73" s="45"/>
      <c r="BK73" s="45"/>
      <c r="BL73" s="45"/>
      <c r="BM73" s="45"/>
      <c r="BN73" s="45"/>
      <c r="BO73" s="45"/>
      <c r="BP73" s="45"/>
      <c r="BQ73" s="45"/>
      <c r="BR73" s="45"/>
      <c r="BS73" s="45"/>
      <c r="BT73" s="45"/>
      <c r="BU73" s="45"/>
      <c r="BV73" s="45"/>
      <c r="BW73" s="45"/>
      <c r="CA73" s="45"/>
      <c r="CB73" s="45"/>
      <c r="CC73" s="271"/>
      <c r="CD73" s="273" t="s">
        <v>316</v>
      </c>
      <c r="CF73" s="268" t="s">
        <v>0</v>
      </c>
      <c r="CG73" s="271" t="s">
        <v>317</v>
      </c>
      <c r="CH73" s="271"/>
      <c r="CI73" s="271"/>
      <c r="CJ73" s="271"/>
      <c r="CK73" s="271" t="s">
        <v>318</v>
      </c>
      <c r="CL73" s="271"/>
      <c r="CM73" s="271"/>
      <c r="CN73" s="271"/>
      <c r="CO73" s="268"/>
      <c r="CP73" s="45"/>
      <c r="CQ73" s="45" t="s">
        <v>0</v>
      </c>
      <c r="CR73" s="958">
        <f>2.5*(CR67-CR69)</f>
        <v>200</v>
      </c>
      <c r="CS73" s="958"/>
      <c r="CT73" s="958"/>
      <c r="CU73" s="958"/>
      <c r="CV73" s="45"/>
      <c r="CW73" s="45"/>
      <c r="CX73" s="45"/>
      <c r="CY73" s="45"/>
      <c r="CZ73" s="45"/>
      <c r="DA73" s="45"/>
      <c r="DB73" s="45"/>
      <c r="DC73" s="45"/>
      <c r="DD73" s="45"/>
      <c r="DE73" s="45"/>
      <c r="DF73" s="45"/>
      <c r="DG73" s="45"/>
      <c r="DH73" s="45"/>
      <c r="DI73" s="45"/>
      <c r="DJ73" s="45"/>
      <c r="DN73" s="45"/>
      <c r="DO73" s="45"/>
      <c r="DP73" s="271"/>
      <c r="DQ73" s="273" t="s">
        <v>316</v>
      </c>
      <c r="DS73" s="268" t="s">
        <v>0</v>
      </c>
      <c r="DT73" s="271" t="s">
        <v>317</v>
      </c>
      <c r="DU73" s="271"/>
      <c r="DV73" s="271"/>
      <c r="DW73" s="271"/>
      <c r="DX73" s="271" t="s">
        <v>318</v>
      </c>
      <c r="DY73" s="271"/>
      <c r="DZ73" s="271"/>
      <c r="EA73" s="271"/>
      <c r="EB73" s="268"/>
      <c r="EC73" s="45"/>
      <c r="ED73" s="45" t="s">
        <v>0</v>
      </c>
      <c r="EE73" s="958">
        <f>2.5*(EE67-EE69)</f>
        <v>202.5</v>
      </c>
      <c r="EF73" s="958"/>
      <c r="EG73" s="958"/>
      <c r="EH73" s="958"/>
      <c r="EI73" s="45"/>
      <c r="EJ73" s="45"/>
      <c r="EK73" s="45"/>
      <c r="EL73" s="45"/>
      <c r="EM73" s="45"/>
      <c r="EN73" s="45"/>
      <c r="EO73" s="45"/>
      <c r="EP73" s="45"/>
      <c r="EQ73" s="45"/>
      <c r="ER73" s="45"/>
      <c r="ES73" s="45"/>
      <c r="ET73" s="45"/>
      <c r="EU73" s="45"/>
      <c r="EV73" s="45"/>
      <c r="EW73" s="45"/>
    </row>
    <row r="74" spans="1:153" x14ac:dyDescent="0.35">
      <c r="A74" s="45"/>
      <c r="B74" s="45"/>
      <c r="C74" s="45"/>
      <c r="D74" s="271"/>
      <c r="E74" s="271"/>
      <c r="F74" s="271"/>
      <c r="G74" s="271"/>
      <c r="H74" s="271"/>
      <c r="I74" s="271"/>
      <c r="J74" s="271"/>
      <c r="K74" s="271" t="s">
        <v>319</v>
      </c>
      <c r="L74" s="271"/>
      <c r="M74" s="271"/>
      <c r="N74" s="271"/>
      <c r="O74" s="268"/>
      <c r="P74" s="268"/>
      <c r="Q74" s="268" t="s">
        <v>0</v>
      </c>
      <c r="R74" s="958">
        <f>R67-(R70/3)</f>
        <v>473.4666666666667</v>
      </c>
      <c r="S74" s="958"/>
      <c r="T74" s="958"/>
      <c r="U74" s="958"/>
      <c r="V74" s="45"/>
      <c r="W74" s="45"/>
      <c r="X74" s="45"/>
      <c r="Y74" s="45"/>
      <c r="Z74" s="45"/>
      <c r="AA74" s="45"/>
      <c r="AB74" s="45"/>
      <c r="AC74" s="45"/>
      <c r="AD74" s="45"/>
      <c r="AE74" s="45"/>
      <c r="AF74" s="45"/>
      <c r="AG74" s="45"/>
      <c r="AH74" s="45"/>
      <c r="AI74" s="45"/>
      <c r="AJ74" s="45"/>
      <c r="AN74" s="45"/>
      <c r="AO74" s="45"/>
      <c r="AP74" s="45"/>
      <c r="AQ74" s="271"/>
      <c r="AR74" s="271"/>
      <c r="AS74" s="271"/>
      <c r="AT74" s="271"/>
      <c r="AU74" s="271"/>
      <c r="AV74" s="271"/>
      <c r="AW74" s="271"/>
      <c r="AX74" s="271" t="s">
        <v>319</v>
      </c>
      <c r="AY74" s="271"/>
      <c r="AZ74" s="271"/>
      <c r="BA74" s="271"/>
      <c r="BB74" s="268"/>
      <c r="BC74" s="268"/>
      <c r="BD74" s="268" t="s">
        <v>0</v>
      </c>
      <c r="BE74" s="958">
        <f>BE67-(BE70/3)</f>
        <v>526.4</v>
      </c>
      <c r="BF74" s="958"/>
      <c r="BG74" s="958"/>
      <c r="BH74" s="958"/>
      <c r="BI74" s="45"/>
      <c r="BJ74" s="45"/>
      <c r="BK74" s="45"/>
      <c r="BL74" s="45"/>
      <c r="BM74" s="45"/>
      <c r="BN74" s="45"/>
      <c r="BO74" s="45"/>
      <c r="BP74" s="45"/>
      <c r="BQ74" s="45"/>
      <c r="BR74" s="45"/>
      <c r="BS74" s="45"/>
      <c r="BT74" s="45"/>
      <c r="BU74" s="45"/>
      <c r="BV74" s="45"/>
      <c r="BW74" s="45"/>
      <c r="CA74" s="45"/>
      <c r="CB74" s="45"/>
      <c r="CC74" s="45"/>
      <c r="CD74" s="271"/>
      <c r="CE74" s="271"/>
      <c r="CF74" s="271"/>
      <c r="CG74" s="271"/>
      <c r="CH74" s="271"/>
      <c r="CI74" s="271"/>
      <c r="CJ74" s="271"/>
      <c r="CK74" s="271" t="s">
        <v>319</v>
      </c>
      <c r="CL74" s="271"/>
      <c r="CM74" s="271"/>
      <c r="CN74" s="271"/>
      <c r="CO74" s="268"/>
      <c r="CP74" s="268"/>
      <c r="CQ74" s="268" t="s">
        <v>0</v>
      </c>
      <c r="CR74" s="958">
        <f>CR67-(CR70/3)</f>
        <v>526.4</v>
      </c>
      <c r="CS74" s="958"/>
      <c r="CT74" s="958"/>
      <c r="CU74" s="958"/>
      <c r="CV74" s="45"/>
      <c r="CW74" s="45"/>
      <c r="CX74" s="45"/>
      <c r="CY74" s="45"/>
      <c r="CZ74" s="45"/>
      <c r="DA74" s="45"/>
      <c r="DB74" s="45"/>
      <c r="DC74" s="45"/>
      <c r="DD74" s="45"/>
      <c r="DE74" s="45"/>
      <c r="DF74" s="45"/>
      <c r="DG74" s="45"/>
      <c r="DH74" s="45"/>
      <c r="DI74" s="45"/>
      <c r="DJ74" s="45"/>
      <c r="DN74" s="45"/>
      <c r="DO74" s="45"/>
      <c r="DP74" s="45"/>
      <c r="DQ74" s="271"/>
      <c r="DR74" s="271"/>
      <c r="DS74" s="271"/>
      <c r="DT74" s="271"/>
      <c r="DU74" s="271"/>
      <c r="DV74" s="271"/>
      <c r="DW74" s="271"/>
      <c r="DX74" s="271" t="s">
        <v>319</v>
      </c>
      <c r="DY74" s="271"/>
      <c r="DZ74" s="271"/>
      <c r="EA74" s="271"/>
      <c r="EB74" s="268"/>
      <c r="EC74" s="268"/>
      <c r="ED74" s="268" t="s">
        <v>0</v>
      </c>
      <c r="EE74" s="958">
        <f>EE67-(EE70/3)</f>
        <v>522.06666666666672</v>
      </c>
      <c r="EF74" s="958"/>
      <c r="EG74" s="958"/>
      <c r="EH74" s="958"/>
      <c r="EI74" s="45"/>
      <c r="EJ74" s="45"/>
      <c r="EK74" s="45"/>
      <c r="EL74" s="45"/>
      <c r="EM74" s="45"/>
      <c r="EN74" s="45"/>
      <c r="EO74" s="45"/>
      <c r="EP74" s="45"/>
      <c r="EQ74" s="45"/>
      <c r="ER74" s="45"/>
      <c r="ES74" s="45"/>
      <c r="ET74" s="45"/>
      <c r="EU74" s="45"/>
      <c r="EV74" s="45"/>
      <c r="EW74" s="45"/>
    </row>
    <row r="75" spans="1:153" x14ac:dyDescent="0.35">
      <c r="A75" s="45"/>
      <c r="B75" s="45"/>
      <c r="C75" s="45"/>
      <c r="D75" s="271"/>
      <c r="E75" s="271"/>
      <c r="F75" s="271"/>
      <c r="G75" s="271"/>
      <c r="H75" s="271"/>
      <c r="I75" s="271"/>
      <c r="J75" s="271"/>
      <c r="K75" s="271" t="s">
        <v>320</v>
      </c>
      <c r="L75" s="271"/>
      <c r="M75" s="271"/>
      <c r="N75" s="271"/>
      <c r="O75" s="268"/>
      <c r="P75" s="268"/>
      <c r="Q75" s="268" t="s">
        <v>0</v>
      </c>
      <c r="R75" s="958">
        <f>R67/2</f>
        <v>250</v>
      </c>
      <c r="S75" s="958"/>
      <c r="T75" s="958"/>
      <c r="U75" s="958"/>
      <c r="V75" s="45"/>
      <c r="W75" s="45"/>
      <c r="X75" s="45"/>
      <c r="Y75" s="45"/>
      <c r="Z75" s="45"/>
      <c r="AA75" s="45"/>
      <c r="AB75" s="45"/>
      <c r="AC75" s="45"/>
      <c r="AD75" s="45"/>
      <c r="AE75" s="45"/>
      <c r="AF75" s="45"/>
      <c r="AG75" s="45"/>
      <c r="AH75" s="45"/>
      <c r="AI75" s="45"/>
      <c r="AJ75" s="45"/>
      <c r="AN75" s="45"/>
      <c r="AO75" s="45"/>
      <c r="AP75" s="45"/>
      <c r="AQ75" s="271"/>
      <c r="AR75" s="271"/>
      <c r="AS75" s="271"/>
      <c r="AT75" s="271"/>
      <c r="AU75" s="271"/>
      <c r="AV75" s="271"/>
      <c r="AW75" s="271"/>
      <c r="AX75" s="271" t="s">
        <v>320</v>
      </c>
      <c r="AY75" s="271"/>
      <c r="AZ75" s="271"/>
      <c r="BA75" s="271"/>
      <c r="BB75" s="268"/>
      <c r="BC75" s="268"/>
      <c r="BD75" s="268" t="s">
        <v>0</v>
      </c>
      <c r="BE75" s="958">
        <f>BE67/2</f>
        <v>275</v>
      </c>
      <c r="BF75" s="958"/>
      <c r="BG75" s="958"/>
      <c r="BH75" s="958"/>
      <c r="BI75" s="45"/>
      <c r="BJ75" s="45"/>
      <c r="BK75" s="45"/>
      <c r="BL75" s="45"/>
      <c r="BM75" s="45"/>
      <c r="BN75" s="45"/>
      <c r="BO75" s="45"/>
      <c r="BP75" s="45"/>
      <c r="BQ75" s="45"/>
      <c r="BR75" s="45"/>
      <c r="BS75" s="45"/>
      <c r="BT75" s="45"/>
      <c r="BU75" s="45"/>
      <c r="BV75" s="45"/>
      <c r="BW75" s="45"/>
      <c r="CA75" s="45"/>
      <c r="CB75" s="45"/>
      <c r="CC75" s="45"/>
      <c r="CD75" s="271"/>
      <c r="CE75" s="271"/>
      <c r="CF75" s="271"/>
      <c r="CG75" s="271"/>
      <c r="CH75" s="271"/>
      <c r="CI75" s="271"/>
      <c r="CJ75" s="271"/>
      <c r="CK75" s="271" t="s">
        <v>320</v>
      </c>
      <c r="CL75" s="271"/>
      <c r="CM75" s="271"/>
      <c r="CN75" s="271"/>
      <c r="CO75" s="268"/>
      <c r="CP75" s="268"/>
      <c r="CQ75" s="268" t="s">
        <v>0</v>
      </c>
      <c r="CR75" s="958">
        <f>CR67/2</f>
        <v>275</v>
      </c>
      <c r="CS75" s="958"/>
      <c r="CT75" s="958"/>
      <c r="CU75" s="958"/>
      <c r="CV75" s="45"/>
      <c r="CW75" s="45"/>
      <c r="CX75" s="45"/>
      <c r="CY75" s="45"/>
      <c r="CZ75" s="45"/>
      <c r="DA75" s="45"/>
      <c r="DB75" s="45"/>
      <c r="DC75" s="45"/>
      <c r="DD75" s="45"/>
      <c r="DE75" s="45"/>
      <c r="DF75" s="45"/>
      <c r="DG75" s="45"/>
      <c r="DH75" s="45"/>
      <c r="DI75" s="45"/>
      <c r="DJ75" s="45"/>
      <c r="DN75" s="45"/>
      <c r="DO75" s="45"/>
      <c r="DP75" s="45"/>
      <c r="DQ75" s="271"/>
      <c r="DR75" s="271"/>
      <c r="DS75" s="271"/>
      <c r="DT75" s="271"/>
      <c r="DU75" s="271"/>
      <c r="DV75" s="271"/>
      <c r="DW75" s="271"/>
      <c r="DX75" s="271" t="s">
        <v>320</v>
      </c>
      <c r="DY75" s="271"/>
      <c r="DZ75" s="271"/>
      <c r="EA75" s="271"/>
      <c r="EB75" s="268"/>
      <c r="EC75" s="268"/>
      <c r="ED75" s="268" t="s">
        <v>0</v>
      </c>
      <c r="EE75" s="958">
        <f>EE67/2</f>
        <v>275</v>
      </c>
      <c r="EF75" s="958"/>
      <c r="EG75" s="958"/>
      <c r="EH75" s="958"/>
      <c r="EI75" s="45"/>
      <c r="EJ75" s="45"/>
      <c r="EK75" s="45"/>
      <c r="EL75" s="45"/>
      <c r="EM75" s="45"/>
      <c r="EN75" s="45"/>
      <c r="EO75" s="45"/>
      <c r="EP75" s="45"/>
      <c r="EQ75" s="45"/>
      <c r="ER75" s="45"/>
      <c r="ES75" s="45"/>
      <c r="ET75" s="45"/>
      <c r="EU75" s="45"/>
      <c r="EV75" s="45"/>
      <c r="EW75" s="45"/>
    </row>
    <row r="76" spans="1:153" ht="17" x14ac:dyDescent="0.35">
      <c r="A76" s="45"/>
      <c r="B76" s="45"/>
      <c r="C76" s="45"/>
      <c r="D76" s="271"/>
      <c r="E76" s="271"/>
      <c r="F76" s="271"/>
      <c r="G76" s="271"/>
      <c r="H76" s="271"/>
      <c r="I76" s="271"/>
      <c r="J76" s="271"/>
      <c r="K76" s="271"/>
      <c r="L76" s="271"/>
      <c r="M76" s="271"/>
      <c r="N76" s="271"/>
      <c r="O76" s="268"/>
      <c r="P76" s="273" t="s">
        <v>316</v>
      </c>
      <c r="Q76" s="268" t="s">
        <v>0</v>
      </c>
      <c r="R76" s="958">
        <f>MIN(R73:U75)</f>
        <v>202.5</v>
      </c>
      <c r="S76" s="958"/>
      <c r="T76" s="958"/>
      <c r="U76" s="958"/>
      <c r="V76" s="45"/>
      <c r="W76" s="45"/>
      <c r="X76" s="45"/>
      <c r="Y76" s="45"/>
      <c r="Z76" s="45"/>
      <c r="AA76" s="45"/>
      <c r="AB76" s="45"/>
      <c r="AC76" s="45"/>
      <c r="AD76" s="45"/>
      <c r="AE76" s="45"/>
      <c r="AF76" s="45"/>
      <c r="AG76" s="45"/>
      <c r="AH76" s="45"/>
      <c r="AI76" s="45"/>
      <c r="AJ76" s="45"/>
      <c r="AN76" s="45"/>
      <c r="AO76" s="45"/>
      <c r="AP76" s="45"/>
      <c r="AQ76" s="271"/>
      <c r="AR76" s="271"/>
      <c r="AS76" s="271"/>
      <c r="AT76" s="271"/>
      <c r="AU76" s="271"/>
      <c r="AV76" s="271"/>
      <c r="AW76" s="271"/>
      <c r="AX76" s="271"/>
      <c r="AY76" s="271"/>
      <c r="AZ76" s="271"/>
      <c r="BA76" s="271"/>
      <c r="BB76" s="268"/>
      <c r="BC76" s="273" t="s">
        <v>316</v>
      </c>
      <c r="BD76" s="268" t="s">
        <v>0</v>
      </c>
      <c r="BE76" s="958">
        <f>MIN(BE73:BH75)</f>
        <v>200</v>
      </c>
      <c r="BF76" s="958"/>
      <c r="BG76" s="958"/>
      <c r="BH76" s="958"/>
      <c r="BI76" s="45"/>
      <c r="BJ76" s="45"/>
      <c r="BK76" s="45"/>
      <c r="BL76" s="45"/>
      <c r="BM76" s="45"/>
      <c r="BN76" s="45"/>
      <c r="BO76" s="45"/>
      <c r="BP76" s="45"/>
      <c r="BQ76" s="45"/>
      <c r="BR76" s="45"/>
      <c r="BS76" s="45"/>
      <c r="BT76" s="45"/>
      <c r="BU76" s="45"/>
      <c r="BV76" s="45"/>
      <c r="BW76" s="45"/>
      <c r="CA76" s="45"/>
      <c r="CB76" s="45"/>
      <c r="CC76" s="45"/>
      <c r="CD76" s="271"/>
      <c r="CE76" s="271"/>
      <c r="CF76" s="271"/>
      <c r="CG76" s="271"/>
      <c r="CH76" s="271"/>
      <c r="CI76" s="271"/>
      <c r="CJ76" s="271"/>
      <c r="CK76" s="271"/>
      <c r="CL76" s="271"/>
      <c r="CM76" s="271"/>
      <c r="CN76" s="271"/>
      <c r="CO76" s="268"/>
      <c r="CP76" s="273" t="s">
        <v>316</v>
      </c>
      <c r="CQ76" s="268" t="s">
        <v>0</v>
      </c>
      <c r="CR76" s="958">
        <f>MIN(CR73:CU75)</f>
        <v>200</v>
      </c>
      <c r="CS76" s="958"/>
      <c r="CT76" s="958"/>
      <c r="CU76" s="958"/>
      <c r="CV76" s="45"/>
      <c r="CW76" s="45"/>
      <c r="CX76" s="45"/>
      <c r="CY76" s="45"/>
      <c r="CZ76" s="45"/>
      <c r="DA76" s="45"/>
      <c r="DB76" s="45"/>
      <c r="DC76" s="45"/>
      <c r="DD76" s="45"/>
      <c r="DE76" s="45"/>
      <c r="DF76" s="45"/>
      <c r="DG76" s="45"/>
      <c r="DH76" s="45"/>
      <c r="DI76" s="45"/>
      <c r="DJ76" s="45"/>
      <c r="DN76" s="45"/>
      <c r="DO76" s="45"/>
      <c r="DP76" s="45"/>
      <c r="DQ76" s="271"/>
      <c r="DR76" s="271"/>
      <c r="DS76" s="271"/>
      <c r="DT76" s="271"/>
      <c r="DU76" s="271"/>
      <c r="DV76" s="271"/>
      <c r="DW76" s="271"/>
      <c r="DX76" s="271"/>
      <c r="DY76" s="271"/>
      <c r="DZ76" s="271"/>
      <c r="EA76" s="271"/>
      <c r="EB76" s="268"/>
      <c r="EC76" s="273" t="s">
        <v>316</v>
      </c>
      <c r="ED76" s="268" t="s">
        <v>0</v>
      </c>
      <c r="EE76" s="958">
        <f>MIN(EE73:EH75)</f>
        <v>202.5</v>
      </c>
      <c r="EF76" s="958"/>
      <c r="EG76" s="958"/>
      <c r="EH76" s="958"/>
      <c r="EI76" s="45"/>
      <c r="EJ76" s="45"/>
      <c r="EK76" s="45"/>
      <c r="EL76" s="45"/>
      <c r="EM76" s="45"/>
      <c r="EN76" s="45"/>
      <c r="EO76" s="45"/>
      <c r="EP76" s="45"/>
      <c r="EQ76" s="45"/>
      <c r="ER76" s="45"/>
      <c r="ES76" s="45"/>
      <c r="ET76" s="45"/>
      <c r="EU76" s="45"/>
      <c r="EV76" s="45"/>
      <c r="EW76" s="45"/>
    </row>
    <row r="77" spans="1:153" ht="17" x14ac:dyDescent="0.35">
      <c r="A77" s="45"/>
      <c r="B77" s="45"/>
      <c r="C77" s="271" t="s">
        <v>321</v>
      </c>
      <c r="E77" s="271"/>
      <c r="F77" s="271"/>
      <c r="G77" s="271"/>
      <c r="H77" s="271"/>
      <c r="I77" s="271"/>
      <c r="J77" s="271"/>
      <c r="K77" s="271"/>
      <c r="L77" s="271"/>
      <c r="M77" s="271"/>
      <c r="N77" s="271"/>
      <c r="O77" s="268"/>
      <c r="P77" s="273" t="s">
        <v>322</v>
      </c>
      <c r="Q77" s="268" t="s">
        <v>0</v>
      </c>
      <c r="R77" s="959">
        <f>R76*R68</f>
        <v>202500</v>
      </c>
      <c r="S77" s="959"/>
      <c r="T77" s="959"/>
      <c r="U77" s="959"/>
      <c r="V77" s="959"/>
      <c r="W77" s="959"/>
      <c r="X77" s="274"/>
      <c r="Y77" s="274"/>
      <c r="Z77" s="274"/>
      <c r="AA77" s="45"/>
      <c r="AB77" s="45"/>
      <c r="AC77" s="45"/>
      <c r="AD77" s="45"/>
      <c r="AE77" s="45"/>
      <c r="AF77" s="45"/>
      <c r="AG77" s="45"/>
      <c r="AH77" s="45"/>
      <c r="AI77" s="45"/>
      <c r="AJ77" s="45"/>
      <c r="AN77" s="45"/>
      <c r="AO77" s="45"/>
      <c r="AP77" s="271" t="s">
        <v>321</v>
      </c>
      <c r="AR77" s="271"/>
      <c r="AS77" s="271"/>
      <c r="AT77" s="271"/>
      <c r="AU77" s="271"/>
      <c r="AV77" s="271"/>
      <c r="AW77" s="271"/>
      <c r="AX77" s="271"/>
      <c r="AY77" s="271"/>
      <c r="AZ77" s="271"/>
      <c r="BA77" s="271"/>
      <c r="BB77" s="268"/>
      <c r="BC77" s="273" t="s">
        <v>322</v>
      </c>
      <c r="BD77" s="268" t="s">
        <v>0</v>
      </c>
      <c r="BE77" s="959">
        <f>BE76*BE68</f>
        <v>200000</v>
      </c>
      <c r="BF77" s="959"/>
      <c r="BG77" s="959"/>
      <c r="BH77" s="959"/>
      <c r="BI77" s="959"/>
      <c r="BJ77" s="959"/>
      <c r="BK77" s="274"/>
      <c r="BL77" s="274"/>
      <c r="BM77" s="274"/>
      <c r="BN77" s="45"/>
      <c r="BO77" s="45"/>
      <c r="BP77" s="45"/>
      <c r="BQ77" s="45"/>
      <c r="BR77" s="45"/>
      <c r="BS77" s="45"/>
      <c r="BT77" s="45"/>
      <c r="BU77" s="45"/>
      <c r="BV77" s="45"/>
      <c r="BW77" s="45"/>
      <c r="CA77" s="45"/>
      <c r="CB77" s="45"/>
      <c r="CC77" s="271" t="s">
        <v>321</v>
      </c>
      <c r="CE77" s="271"/>
      <c r="CF77" s="271"/>
      <c r="CG77" s="271"/>
      <c r="CH77" s="271"/>
      <c r="CI77" s="271"/>
      <c r="CJ77" s="271"/>
      <c r="CK77" s="271"/>
      <c r="CL77" s="271"/>
      <c r="CM77" s="271"/>
      <c r="CN77" s="271"/>
      <c r="CO77" s="268"/>
      <c r="CP77" s="273" t="s">
        <v>322</v>
      </c>
      <c r="CQ77" s="268" t="s">
        <v>0</v>
      </c>
      <c r="CR77" s="959">
        <f>CR76*CR68</f>
        <v>200000</v>
      </c>
      <c r="CS77" s="959"/>
      <c r="CT77" s="959"/>
      <c r="CU77" s="959"/>
      <c r="CV77" s="959"/>
      <c r="CW77" s="959"/>
      <c r="CX77" s="274"/>
      <c r="CY77" s="274"/>
      <c r="CZ77" s="274"/>
      <c r="DA77" s="45"/>
      <c r="DB77" s="45"/>
      <c r="DC77" s="45"/>
      <c r="DD77" s="45"/>
      <c r="DE77" s="45"/>
      <c r="DF77" s="45"/>
      <c r="DG77" s="45"/>
      <c r="DH77" s="45"/>
      <c r="DI77" s="45"/>
      <c r="DJ77" s="45"/>
      <c r="DN77" s="45"/>
      <c r="DO77" s="45"/>
      <c r="DP77" s="271" t="s">
        <v>321</v>
      </c>
      <c r="DR77" s="271"/>
      <c r="DS77" s="271"/>
      <c r="DT77" s="271"/>
      <c r="DU77" s="271"/>
      <c r="DV77" s="271"/>
      <c r="DW77" s="271"/>
      <c r="DX77" s="271"/>
      <c r="DY77" s="271"/>
      <c r="DZ77" s="271"/>
      <c r="EA77" s="271"/>
      <c r="EB77" s="268"/>
      <c r="EC77" s="273" t="s">
        <v>322</v>
      </c>
      <c r="ED77" s="268" t="s">
        <v>0</v>
      </c>
      <c r="EE77" s="959">
        <f>EE76*EE68</f>
        <v>202500</v>
      </c>
      <c r="EF77" s="959"/>
      <c r="EG77" s="959"/>
      <c r="EH77" s="959"/>
      <c r="EI77" s="959"/>
      <c r="EJ77" s="959"/>
      <c r="EK77" s="274"/>
      <c r="EL77" s="274"/>
      <c r="EM77" s="274"/>
      <c r="EN77" s="45"/>
      <c r="EO77" s="45"/>
      <c r="EP77" s="45"/>
      <c r="EQ77" s="45"/>
      <c r="ER77" s="45"/>
      <c r="ES77" s="45"/>
      <c r="ET77" s="45"/>
      <c r="EU77" s="45"/>
      <c r="EV77" s="45"/>
      <c r="EW77" s="45"/>
    </row>
    <row r="78" spans="1:153" ht="17.5" x14ac:dyDescent="0.45">
      <c r="A78" s="45"/>
      <c r="B78" s="45"/>
      <c r="C78" s="271" t="s">
        <v>323</v>
      </c>
      <c r="E78" s="271"/>
      <c r="F78" s="271"/>
      <c r="G78" s="271"/>
      <c r="H78" s="271"/>
      <c r="I78" s="271"/>
      <c r="J78" s="45"/>
      <c r="K78" s="271"/>
      <c r="L78" s="45"/>
      <c r="M78" s="45"/>
      <c r="N78" s="45"/>
      <c r="O78" s="268"/>
      <c r="P78" s="115" t="s">
        <v>324</v>
      </c>
      <c r="Q78" s="268" t="s">
        <v>0</v>
      </c>
      <c r="R78" s="951">
        <f>R63/R77</f>
        <v>5.5850536063818549E-3</v>
      </c>
      <c r="S78" s="951"/>
      <c r="T78" s="951"/>
      <c r="U78" s="951"/>
      <c r="V78" s="45"/>
      <c r="W78" s="45"/>
      <c r="X78" s="45"/>
      <c r="Y78" s="45"/>
      <c r="Z78" s="45"/>
      <c r="AA78" s="45"/>
      <c r="AB78" s="45"/>
      <c r="AC78" s="45"/>
      <c r="AD78" s="45"/>
      <c r="AE78" s="45"/>
      <c r="AF78" s="45"/>
      <c r="AG78" s="45"/>
      <c r="AH78" s="45"/>
      <c r="AI78" s="45"/>
      <c r="AJ78" s="45"/>
      <c r="AN78" s="45"/>
      <c r="AO78" s="45"/>
      <c r="AP78" s="271" t="s">
        <v>323</v>
      </c>
      <c r="AR78" s="271"/>
      <c r="AS78" s="271"/>
      <c r="AT78" s="271"/>
      <c r="AU78" s="271"/>
      <c r="AV78" s="271"/>
      <c r="AW78" s="45"/>
      <c r="AX78" s="271"/>
      <c r="AY78" s="45"/>
      <c r="AZ78" s="45"/>
      <c r="BA78" s="45"/>
      <c r="BB78" s="268"/>
      <c r="BC78" s="115" t="s">
        <v>324</v>
      </c>
      <c r="BD78" s="268" t="s">
        <v>0</v>
      </c>
      <c r="BE78" s="951">
        <f>BE63/BE77</f>
        <v>3.9269908169872417E-3</v>
      </c>
      <c r="BF78" s="951"/>
      <c r="BG78" s="951"/>
      <c r="BH78" s="951"/>
      <c r="BI78" s="45"/>
      <c r="BJ78" s="45"/>
      <c r="BK78" s="45"/>
      <c r="BL78" s="45"/>
      <c r="BM78" s="45"/>
      <c r="BN78" s="45"/>
      <c r="BO78" s="45"/>
      <c r="BP78" s="45"/>
      <c r="BQ78" s="45"/>
      <c r="BR78" s="45"/>
      <c r="BS78" s="45"/>
      <c r="BT78" s="45"/>
      <c r="BU78" s="45"/>
      <c r="BV78" s="45"/>
      <c r="BW78" s="45"/>
      <c r="CA78" s="45"/>
      <c r="CB78" s="45"/>
      <c r="CC78" s="271" t="s">
        <v>323</v>
      </c>
      <c r="CE78" s="271"/>
      <c r="CF78" s="271"/>
      <c r="CG78" s="271"/>
      <c r="CH78" s="271"/>
      <c r="CI78" s="271"/>
      <c r="CJ78" s="45"/>
      <c r="CK78" s="271"/>
      <c r="CL78" s="45"/>
      <c r="CM78" s="45"/>
      <c r="CN78" s="45"/>
      <c r="CO78" s="268"/>
      <c r="CP78" s="315" t="s">
        <v>324</v>
      </c>
      <c r="CQ78" s="268" t="s">
        <v>0</v>
      </c>
      <c r="CR78" s="951">
        <f>CR63/CR77</f>
        <v>3.9269908169872417E-3</v>
      </c>
      <c r="CS78" s="951"/>
      <c r="CT78" s="951"/>
      <c r="CU78" s="951"/>
      <c r="CV78" s="45"/>
      <c r="CW78" s="45"/>
      <c r="CX78" s="45"/>
      <c r="CY78" s="45"/>
      <c r="CZ78" s="45"/>
      <c r="DA78" s="45"/>
      <c r="DB78" s="45"/>
      <c r="DC78" s="45"/>
      <c r="DD78" s="45"/>
      <c r="DE78" s="45"/>
      <c r="DF78" s="45"/>
      <c r="DG78" s="45"/>
      <c r="DH78" s="45"/>
      <c r="DI78" s="45"/>
      <c r="DJ78" s="45"/>
      <c r="DN78" s="45"/>
      <c r="DO78" s="45"/>
      <c r="DP78" s="271" t="s">
        <v>323</v>
      </c>
      <c r="DR78" s="271"/>
      <c r="DS78" s="271"/>
      <c r="DT78" s="271"/>
      <c r="DU78" s="271"/>
      <c r="DV78" s="271"/>
      <c r="DW78" s="45"/>
      <c r="DX78" s="271"/>
      <c r="DY78" s="45"/>
      <c r="DZ78" s="45"/>
      <c r="EA78" s="45"/>
      <c r="EB78" s="268"/>
      <c r="EC78" s="470" t="s">
        <v>324</v>
      </c>
      <c r="ED78" s="268" t="s">
        <v>0</v>
      </c>
      <c r="EE78" s="951">
        <f>EE63/EE77</f>
        <v>5.5850536063818549E-3</v>
      </c>
      <c r="EF78" s="951"/>
      <c r="EG78" s="951"/>
      <c r="EH78" s="951"/>
      <c r="EI78" s="45"/>
      <c r="EJ78" s="45"/>
      <c r="EK78" s="45"/>
      <c r="EL78" s="45"/>
      <c r="EM78" s="45"/>
      <c r="EN78" s="45"/>
      <c r="EO78" s="45"/>
      <c r="EP78" s="45"/>
      <c r="EQ78" s="45"/>
      <c r="ER78" s="45"/>
      <c r="ES78" s="45"/>
      <c r="ET78" s="45"/>
      <c r="EU78" s="45"/>
      <c r="EV78" s="45"/>
      <c r="EW78" s="45"/>
    </row>
    <row r="79" spans="1:153" x14ac:dyDescent="0.35">
      <c r="A79" s="45"/>
      <c r="B79" s="45"/>
      <c r="C79" s="66"/>
      <c r="D79" s="66"/>
      <c r="E79" s="66"/>
      <c r="F79" s="66"/>
      <c r="G79" s="66"/>
      <c r="H79" s="66"/>
      <c r="I79" s="66"/>
      <c r="J79" s="66"/>
      <c r="K79" s="66"/>
      <c r="L79" s="66"/>
      <c r="M79" s="66"/>
      <c r="N79" s="66"/>
      <c r="O79" s="66"/>
      <c r="P79" s="66"/>
      <c r="Q79" s="66"/>
      <c r="R79" s="66"/>
      <c r="S79" s="66"/>
      <c r="T79" s="66"/>
      <c r="U79" s="66"/>
      <c r="V79" s="66"/>
      <c r="W79" s="66"/>
      <c r="X79" s="66"/>
      <c r="Y79" s="66"/>
      <c r="Z79" s="66"/>
      <c r="AA79" s="66"/>
      <c r="AB79" s="66"/>
      <c r="AC79" s="66"/>
      <c r="AD79" s="66"/>
      <c r="AE79" s="66"/>
      <c r="AF79" s="66"/>
      <c r="AG79" s="66"/>
      <c r="AH79" s="66"/>
      <c r="AI79" s="66"/>
      <c r="AJ79" s="66"/>
      <c r="AN79" s="45"/>
      <c r="AO79" s="45"/>
      <c r="AP79" s="66"/>
      <c r="AQ79" s="66"/>
      <c r="AR79" s="66"/>
      <c r="AS79" s="66"/>
      <c r="AT79" s="66"/>
      <c r="AU79" s="66"/>
      <c r="AV79" s="66"/>
      <c r="AW79" s="66"/>
      <c r="AX79" s="66"/>
      <c r="AY79" s="66"/>
      <c r="AZ79" s="66"/>
      <c r="BA79" s="66"/>
      <c r="BB79" s="66"/>
      <c r="BC79" s="66"/>
      <c r="BD79" s="66"/>
      <c r="BE79" s="66"/>
      <c r="BF79" s="66"/>
      <c r="BG79" s="66"/>
      <c r="BH79" s="66"/>
      <c r="BI79" s="66"/>
      <c r="BJ79" s="66"/>
      <c r="BK79" s="66"/>
      <c r="BL79" s="66"/>
      <c r="BM79" s="66"/>
      <c r="BN79" s="66"/>
      <c r="BO79" s="66"/>
      <c r="BP79" s="66"/>
      <c r="BQ79" s="66"/>
      <c r="BR79" s="66"/>
      <c r="BS79" s="66"/>
      <c r="BT79" s="66"/>
      <c r="BU79" s="66"/>
      <c r="BV79" s="66"/>
      <c r="BW79" s="66"/>
      <c r="CA79" s="45"/>
      <c r="CB79" s="45"/>
      <c r="CC79" s="307"/>
      <c r="CD79" s="307"/>
      <c r="CE79" s="307"/>
      <c r="CF79" s="307"/>
      <c r="CG79" s="307"/>
      <c r="CH79" s="307"/>
      <c r="CI79" s="307"/>
      <c r="CJ79" s="307"/>
      <c r="CK79" s="307"/>
      <c r="CL79" s="307"/>
      <c r="CM79" s="307"/>
      <c r="CN79" s="307"/>
      <c r="CO79" s="307"/>
      <c r="CP79" s="307"/>
      <c r="CQ79" s="307"/>
      <c r="CR79" s="307"/>
      <c r="CS79" s="307"/>
      <c r="CT79" s="307"/>
      <c r="CU79" s="307"/>
      <c r="CV79" s="307"/>
      <c r="CW79" s="307"/>
      <c r="CX79" s="307"/>
      <c r="CY79" s="307"/>
      <c r="CZ79" s="307"/>
      <c r="DA79" s="307"/>
      <c r="DB79" s="307"/>
      <c r="DC79" s="307"/>
      <c r="DD79" s="307"/>
      <c r="DE79" s="307"/>
      <c r="DF79" s="307"/>
      <c r="DG79" s="307"/>
      <c r="DH79" s="307"/>
      <c r="DI79" s="307"/>
      <c r="DJ79" s="307"/>
      <c r="DN79" s="45"/>
      <c r="DO79" s="45"/>
      <c r="DP79" s="389"/>
      <c r="DQ79" s="389"/>
      <c r="DR79" s="389"/>
      <c r="DS79" s="389"/>
      <c r="DT79" s="389"/>
      <c r="DU79" s="389"/>
      <c r="DV79" s="389"/>
      <c r="DW79" s="389"/>
      <c r="DX79" s="389"/>
      <c r="DY79" s="389"/>
      <c r="DZ79" s="389"/>
      <c r="EA79" s="389"/>
      <c r="EB79" s="389"/>
      <c r="EC79" s="389"/>
      <c r="ED79" s="389"/>
      <c r="EE79" s="389"/>
      <c r="EF79" s="389"/>
      <c r="EG79" s="389"/>
      <c r="EH79" s="389"/>
      <c r="EI79" s="389"/>
      <c r="EJ79" s="389"/>
      <c r="EK79" s="389"/>
      <c r="EL79" s="389"/>
      <c r="EM79" s="389"/>
      <c r="EN79" s="389"/>
      <c r="EO79" s="389"/>
      <c r="EP79" s="389"/>
      <c r="EQ79" s="389"/>
      <c r="ER79" s="389"/>
      <c r="ES79" s="389"/>
      <c r="ET79" s="389"/>
      <c r="EU79" s="389"/>
      <c r="EV79" s="389"/>
      <c r="EW79" s="389"/>
    </row>
    <row r="80" spans="1:153" x14ac:dyDescent="0.35">
      <c r="A80" s="45"/>
      <c r="B80" s="45"/>
      <c r="C80" s="66"/>
      <c r="D80" s="66"/>
      <c r="E80" s="66"/>
      <c r="F80" s="66"/>
      <c r="G80" s="66"/>
      <c r="H80" s="66"/>
      <c r="I80" s="66"/>
      <c r="J80" s="66"/>
      <c r="K80" s="66"/>
      <c r="L80" s="66"/>
      <c r="M80" s="66"/>
      <c r="N80" s="66"/>
      <c r="O80" s="704" t="s">
        <v>0</v>
      </c>
      <c r="P80" s="960">
        <f>3.4*R55+((0.425*R61*R62*R60)/R78)</f>
        <v>620.26059439589972</v>
      </c>
      <c r="Q80" s="960"/>
      <c r="R80" s="960"/>
      <c r="S80" s="960"/>
      <c r="T80" s="66"/>
      <c r="U80" s="154"/>
      <c r="V80" s="154"/>
      <c r="W80" s="154"/>
      <c r="X80" s="154"/>
      <c r="Y80" s="154"/>
      <c r="Z80" s="154"/>
      <c r="AA80" s="154"/>
      <c r="AB80" s="154"/>
      <c r="AC80" s="154"/>
      <c r="AD80" s="275"/>
      <c r="AE80" s="275"/>
      <c r="AF80" s="275"/>
      <c r="AG80" s="275"/>
      <c r="AH80" s="275"/>
      <c r="AI80" s="66"/>
      <c r="AJ80" s="66"/>
      <c r="AN80" s="45"/>
      <c r="AO80" s="45"/>
      <c r="AP80" s="66"/>
      <c r="AQ80" s="66"/>
      <c r="AR80" s="66"/>
      <c r="AS80" s="66"/>
      <c r="AT80" s="66"/>
      <c r="AU80" s="66"/>
      <c r="AV80" s="66"/>
      <c r="AW80" s="66"/>
      <c r="AX80" s="66"/>
      <c r="AY80" s="66"/>
      <c r="AZ80" s="66"/>
      <c r="BA80" s="66"/>
      <c r="BB80" s="704" t="s">
        <v>0</v>
      </c>
      <c r="BC80" s="960">
        <f>3.4*BE55+((0.425*BE61*BE62*BE60)/BE78)</f>
        <v>687.90144520995534</v>
      </c>
      <c r="BD80" s="960"/>
      <c r="BE80" s="960"/>
      <c r="BF80" s="960"/>
      <c r="BG80" s="66"/>
      <c r="BH80" s="154"/>
      <c r="BI80" s="154"/>
      <c r="BJ80" s="154"/>
      <c r="BK80" s="154"/>
      <c r="BL80" s="154"/>
      <c r="BM80" s="154"/>
      <c r="BN80" s="154"/>
      <c r="BO80" s="154"/>
      <c r="BP80" s="154"/>
      <c r="BQ80" s="275"/>
      <c r="BR80" s="275"/>
      <c r="BS80" s="275"/>
      <c r="BT80" s="275"/>
      <c r="BU80" s="275"/>
      <c r="BV80" s="66"/>
      <c r="BW80" s="66"/>
      <c r="CA80" s="45"/>
      <c r="CB80" s="45"/>
      <c r="CC80" s="307"/>
      <c r="CD80" s="307"/>
      <c r="CE80" s="307"/>
      <c r="CF80" s="307"/>
      <c r="CG80" s="307"/>
      <c r="CH80" s="307"/>
      <c r="CI80" s="307"/>
      <c r="CJ80" s="307"/>
      <c r="CK80" s="307"/>
      <c r="CL80" s="307"/>
      <c r="CM80" s="307"/>
      <c r="CN80" s="307"/>
      <c r="CO80" s="704" t="s">
        <v>0</v>
      </c>
      <c r="CP80" s="960">
        <f>3.4*CR55+((0.425*CR61*CR62*CR60)/CR78)</f>
        <v>687.90144520995534</v>
      </c>
      <c r="CQ80" s="960"/>
      <c r="CR80" s="960"/>
      <c r="CS80" s="960"/>
      <c r="CT80" s="307"/>
      <c r="CU80" s="154"/>
      <c r="CV80" s="154"/>
      <c r="CW80" s="154"/>
      <c r="CX80" s="154"/>
      <c r="CY80" s="154"/>
      <c r="CZ80" s="154"/>
      <c r="DA80" s="154"/>
      <c r="DB80" s="154"/>
      <c r="DC80" s="154"/>
      <c r="DD80" s="275"/>
      <c r="DE80" s="275"/>
      <c r="DF80" s="275"/>
      <c r="DG80" s="275"/>
      <c r="DH80" s="275"/>
      <c r="DI80" s="307"/>
      <c r="DJ80" s="307"/>
      <c r="DN80" s="45"/>
      <c r="DO80" s="45"/>
      <c r="DP80" s="389"/>
      <c r="DQ80" s="389"/>
      <c r="DR80" s="389"/>
      <c r="DS80" s="389"/>
      <c r="DT80" s="389"/>
      <c r="DU80" s="389"/>
      <c r="DV80" s="389"/>
      <c r="DW80" s="389"/>
      <c r="DX80" s="389"/>
      <c r="DY80" s="389"/>
      <c r="DZ80" s="389"/>
      <c r="EA80" s="389"/>
      <c r="EB80" s="704" t="s">
        <v>0</v>
      </c>
      <c r="EC80" s="960">
        <f>3.4*EE55+((0.425*EE61*EE62*EE60)/EE78)</f>
        <v>620.26059439589972</v>
      </c>
      <c r="ED80" s="960"/>
      <c r="EE80" s="960"/>
      <c r="EF80" s="960"/>
      <c r="EG80" s="389"/>
      <c r="EH80" s="154"/>
      <c r="EI80" s="154"/>
      <c r="EJ80" s="154"/>
      <c r="EK80" s="154"/>
      <c r="EL80" s="154"/>
      <c r="EM80" s="154"/>
      <c r="EN80" s="154"/>
      <c r="EO80" s="154"/>
      <c r="EP80" s="154"/>
      <c r="EQ80" s="275"/>
      <c r="ER80" s="275"/>
      <c r="ES80" s="275"/>
      <c r="ET80" s="275"/>
      <c r="EU80" s="275"/>
      <c r="EV80" s="389"/>
      <c r="EW80" s="389"/>
    </row>
    <row r="81" spans="1:153" x14ac:dyDescent="0.35">
      <c r="A81" s="45"/>
      <c r="B81" s="45"/>
      <c r="C81" s="66"/>
      <c r="D81" s="66"/>
      <c r="E81" s="66"/>
      <c r="F81" s="66"/>
      <c r="G81" s="66"/>
      <c r="H81" s="66"/>
      <c r="I81" s="66"/>
      <c r="J81" s="66"/>
      <c r="K81" s="66"/>
      <c r="L81" s="66"/>
      <c r="M81" s="66"/>
      <c r="N81" s="66"/>
      <c r="O81" s="704"/>
      <c r="P81" s="960"/>
      <c r="Q81" s="960"/>
      <c r="R81" s="960"/>
      <c r="S81" s="960"/>
      <c r="T81" s="66"/>
      <c r="U81" s="154"/>
      <c r="V81" s="154"/>
      <c r="W81" s="154"/>
      <c r="X81" s="154"/>
      <c r="Y81" s="154"/>
      <c r="Z81" s="154"/>
      <c r="AA81" s="154"/>
      <c r="AB81" s="154"/>
      <c r="AC81" s="154"/>
      <c r="AD81" s="275"/>
      <c r="AE81" s="275"/>
      <c r="AF81" s="275"/>
      <c r="AG81" s="275"/>
      <c r="AH81" s="275"/>
      <c r="AI81" s="66"/>
      <c r="AJ81" s="66"/>
      <c r="AN81" s="45"/>
      <c r="AO81" s="45"/>
      <c r="AP81" s="66"/>
      <c r="AQ81" s="66"/>
      <c r="AR81" s="66"/>
      <c r="AS81" s="66"/>
      <c r="AT81" s="66"/>
      <c r="AU81" s="66"/>
      <c r="AV81" s="66"/>
      <c r="AW81" s="66"/>
      <c r="AX81" s="66"/>
      <c r="AY81" s="66"/>
      <c r="AZ81" s="66"/>
      <c r="BA81" s="66"/>
      <c r="BB81" s="704"/>
      <c r="BC81" s="960"/>
      <c r="BD81" s="960"/>
      <c r="BE81" s="960"/>
      <c r="BF81" s="960"/>
      <c r="BG81" s="66"/>
      <c r="BH81" s="154"/>
      <c r="BI81" s="154"/>
      <c r="BJ81" s="154"/>
      <c r="BK81" s="154"/>
      <c r="BL81" s="154"/>
      <c r="BM81" s="154"/>
      <c r="BN81" s="154"/>
      <c r="BO81" s="154"/>
      <c r="BP81" s="154"/>
      <c r="BQ81" s="275"/>
      <c r="BR81" s="275"/>
      <c r="BS81" s="275"/>
      <c r="BT81" s="275"/>
      <c r="BU81" s="275"/>
      <c r="BV81" s="66"/>
      <c r="BW81" s="66"/>
      <c r="CA81" s="45"/>
      <c r="CB81" s="45"/>
      <c r="CC81" s="307"/>
      <c r="CD81" s="307"/>
      <c r="CE81" s="307"/>
      <c r="CF81" s="307"/>
      <c r="CG81" s="307"/>
      <c r="CH81" s="307"/>
      <c r="CI81" s="307"/>
      <c r="CJ81" s="307"/>
      <c r="CK81" s="307"/>
      <c r="CL81" s="307"/>
      <c r="CM81" s="307"/>
      <c r="CN81" s="307"/>
      <c r="CO81" s="704"/>
      <c r="CP81" s="960"/>
      <c r="CQ81" s="960"/>
      <c r="CR81" s="960"/>
      <c r="CS81" s="960"/>
      <c r="CT81" s="307"/>
      <c r="CU81" s="154"/>
      <c r="CV81" s="154"/>
      <c r="CW81" s="154"/>
      <c r="CX81" s="154"/>
      <c r="CY81" s="154"/>
      <c r="CZ81" s="154"/>
      <c r="DA81" s="154"/>
      <c r="DB81" s="154"/>
      <c r="DC81" s="154"/>
      <c r="DD81" s="275"/>
      <c r="DE81" s="275"/>
      <c r="DF81" s="275"/>
      <c r="DG81" s="275"/>
      <c r="DH81" s="275"/>
      <c r="DI81" s="307"/>
      <c r="DJ81" s="307"/>
      <c r="DN81" s="45"/>
      <c r="DO81" s="45"/>
      <c r="DP81" s="389"/>
      <c r="DQ81" s="389"/>
      <c r="DR81" s="389"/>
      <c r="DS81" s="389"/>
      <c r="DT81" s="389"/>
      <c r="DU81" s="389"/>
      <c r="DV81" s="389"/>
      <c r="DW81" s="389"/>
      <c r="DX81" s="389"/>
      <c r="DY81" s="389"/>
      <c r="DZ81" s="389"/>
      <c r="EA81" s="389"/>
      <c r="EB81" s="704"/>
      <c r="EC81" s="960"/>
      <c r="ED81" s="960"/>
      <c r="EE81" s="960"/>
      <c r="EF81" s="960"/>
      <c r="EG81" s="389"/>
      <c r="EH81" s="154"/>
      <c r="EI81" s="154"/>
      <c r="EJ81" s="154"/>
      <c r="EK81" s="154"/>
      <c r="EL81" s="154"/>
      <c r="EM81" s="154"/>
      <c r="EN81" s="154"/>
      <c r="EO81" s="154"/>
      <c r="EP81" s="154"/>
      <c r="EQ81" s="275"/>
      <c r="ER81" s="275"/>
      <c r="ES81" s="275"/>
      <c r="ET81" s="275"/>
      <c r="EU81" s="275"/>
      <c r="EV81" s="389"/>
      <c r="EW81" s="389"/>
    </row>
    <row r="82" spans="1:153" x14ac:dyDescent="0.35">
      <c r="A82" s="45"/>
      <c r="B82" s="45"/>
      <c r="C82" s="66"/>
      <c r="D82" s="66"/>
      <c r="E82" s="66"/>
      <c r="F82" s="66"/>
      <c r="G82" s="66"/>
      <c r="H82" s="66"/>
      <c r="I82" s="66"/>
      <c r="J82" s="66"/>
      <c r="K82" s="66"/>
      <c r="L82" s="66"/>
      <c r="M82" s="66"/>
      <c r="N82" s="66"/>
      <c r="O82" s="66"/>
      <c r="P82" s="66"/>
      <c r="Q82" s="66"/>
      <c r="R82" s="66"/>
      <c r="S82" s="66"/>
      <c r="T82" s="66"/>
      <c r="U82" s="66"/>
      <c r="V82" s="66"/>
      <c r="W82" s="66"/>
      <c r="X82" s="66"/>
      <c r="Y82" s="66"/>
      <c r="Z82" s="66"/>
      <c r="AA82" s="66"/>
      <c r="AB82" s="66"/>
      <c r="AC82" s="66"/>
      <c r="AD82" s="66"/>
      <c r="AE82" s="66"/>
      <c r="AF82" s="66"/>
      <c r="AG82" s="66"/>
      <c r="AH82" s="66"/>
      <c r="AI82" s="66"/>
      <c r="AJ82" s="66"/>
      <c r="AN82" s="45"/>
      <c r="AO82" s="45"/>
      <c r="AP82" s="66"/>
      <c r="AQ82" s="66"/>
      <c r="AR82" s="66"/>
      <c r="AS82" s="66"/>
      <c r="AT82" s="66"/>
      <c r="AU82" s="66"/>
      <c r="AV82" s="66"/>
      <c r="AW82" s="66"/>
      <c r="AX82" s="66"/>
      <c r="AY82" s="66"/>
      <c r="AZ82" s="66"/>
      <c r="BA82" s="66"/>
      <c r="BB82" s="66"/>
      <c r="BC82" s="66"/>
      <c r="BD82" s="66"/>
      <c r="BE82" s="66"/>
      <c r="BF82" s="66"/>
      <c r="BG82" s="66"/>
      <c r="BH82" s="66"/>
      <c r="BI82" s="66"/>
      <c r="BJ82" s="66"/>
      <c r="BK82" s="66"/>
      <c r="BL82" s="66"/>
      <c r="BM82" s="66"/>
      <c r="BN82" s="66"/>
      <c r="BO82" s="66"/>
      <c r="BP82" s="66"/>
      <c r="BQ82" s="66"/>
      <c r="BR82" s="66"/>
      <c r="BS82" s="66"/>
      <c r="BT82" s="66"/>
      <c r="BU82" s="66"/>
      <c r="BV82" s="66"/>
      <c r="BW82" s="66"/>
      <c r="CA82" s="45"/>
      <c r="CB82" s="45"/>
      <c r="CC82" s="307"/>
      <c r="CD82" s="307"/>
      <c r="CE82" s="307"/>
      <c r="CF82" s="307"/>
      <c r="CG82" s="307"/>
      <c r="CH82" s="307"/>
      <c r="CI82" s="307"/>
      <c r="CJ82" s="307"/>
      <c r="CK82" s="307"/>
      <c r="CL82" s="307"/>
      <c r="CM82" s="307"/>
      <c r="CN82" s="307"/>
      <c r="CO82" s="307"/>
      <c r="CP82" s="307"/>
      <c r="CQ82" s="307"/>
      <c r="CR82" s="307"/>
      <c r="CS82" s="307"/>
      <c r="CT82" s="307"/>
      <c r="CU82" s="307"/>
      <c r="CV82" s="307"/>
      <c r="CW82" s="307"/>
      <c r="CX82" s="307"/>
      <c r="CY82" s="307"/>
      <c r="CZ82" s="307"/>
      <c r="DA82" s="307"/>
      <c r="DB82" s="307"/>
      <c r="DC82" s="307"/>
      <c r="DD82" s="307"/>
      <c r="DE82" s="307"/>
      <c r="DF82" s="307"/>
      <c r="DG82" s="307"/>
      <c r="DH82" s="307"/>
      <c r="DI82" s="307"/>
      <c r="DJ82" s="307"/>
      <c r="DN82" s="45"/>
      <c r="DO82" s="45"/>
      <c r="DP82" s="389"/>
      <c r="DQ82" s="389"/>
      <c r="DR82" s="389"/>
      <c r="DS82" s="389"/>
      <c r="DT82" s="389"/>
      <c r="DU82" s="389"/>
      <c r="DV82" s="389"/>
      <c r="DW82" s="389"/>
      <c r="DX82" s="389"/>
      <c r="DY82" s="389"/>
      <c r="DZ82" s="389"/>
      <c r="EA82" s="389"/>
      <c r="EB82" s="389"/>
      <c r="EC82" s="389"/>
      <c r="ED82" s="389"/>
      <c r="EE82" s="389"/>
      <c r="EF82" s="389"/>
      <c r="EG82" s="389"/>
      <c r="EH82" s="389"/>
      <c r="EI82" s="389"/>
      <c r="EJ82" s="389"/>
      <c r="EK82" s="389"/>
      <c r="EL82" s="389"/>
      <c r="EM82" s="389"/>
      <c r="EN82" s="389"/>
      <c r="EO82" s="389"/>
      <c r="EP82" s="389"/>
      <c r="EQ82" s="389"/>
      <c r="ER82" s="389"/>
      <c r="ES82" s="389"/>
      <c r="ET82" s="389"/>
      <c r="EU82" s="389"/>
      <c r="EV82" s="389"/>
      <c r="EW82" s="389"/>
    </row>
    <row r="83" spans="1:153" ht="17" x14ac:dyDescent="0.45">
      <c r="A83" s="45"/>
      <c r="B83" s="45"/>
      <c r="C83" s="265" t="s">
        <v>325</v>
      </c>
      <c r="E83" s="45"/>
      <c r="F83" s="45"/>
      <c r="G83" s="45"/>
      <c r="H83" s="45"/>
      <c r="I83" s="45"/>
      <c r="J83" s="45"/>
      <c r="K83" s="45"/>
      <c r="L83" s="45"/>
      <c r="M83" s="45"/>
      <c r="N83" s="45"/>
      <c r="O83" s="45"/>
      <c r="P83" s="45"/>
      <c r="Q83" s="45"/>
      <c r="R83" s="45"/>
      <c r="S83" s="45"/>
      <c r="T83" s="45"/>
      <c r="U83" s="45"/>
      <c r="V83" s="45"/>
      <c r="W83" s="45"/>
      <c r="X83" s="45"/>
      <c r="Y83" s="45"/>
      <c r="Z83" s="45"/>
      <c r="AA83" s="45"/>
      <c r="AB83" s="45"/>
      <c r="AC83" s="45"/>
      <c r="AD83" s="45"/>
      <c r="AE83" s="45"/>
      <c r="AF83" s="45"/>
      <c r="AG83" s="45"/>
      <c r="AH83" s="45"/>
      <c r="AI83" s="45"/>
      <c r="AJ83" s="45"/>
      <c r="AN83" s="45"/>
      <c r="AO83" s="45"/>
      <c r="AP83" s="265" t="s">
        <v>325</v>
      </c>
      <c r="AR83" s="45"/>
      <c r="AS83" s="45"/>
      <c r="AT83" s="45"/>
      <c r="AU83" s="45"/>
      <c r="AV83" s="45"/>
      <c r="AW83" s="45"/>
      <c r="AX83" s="45"/>
      <c r="AY83" s="45"/>
      <c r="AZ83" s="45"/>
      <c r="BA83" s="45"/>
      <c r="BB83" s="45"/>
      <c r="BC83" s="45"/>
      <c r="BD83" s="45"/>
      <c r="BE83" s="45"/>
      <c r="BF83" s="45"/>
      <c r="BG83" s="45"/>
      <c r="BH83" s="45"/>
      <c r="BI83" s="45"/>
      <c r="BJ83" s="45"/>
      <c r="BK83" s="45"/>
      <c r="BL83" s="45"/>
      <c r="BM83" s="45"/>
      <c r="BN83" s="45"/>
      <c r="BO83" s="45"/>
      <c r="BP83" s="45"/>
      <c r="BQ83" s="45"/>
      <c r="BR83" s="45"/>
      <c r="BS83" s="45"/>
      <c r="BT83" s="45"/>
      <c r="BU83" s="45"/>
      <c r="BV83" s="45"/>
      <c r="BW83" s="45"/>
      <c r="CA83" s="45"/>
      <c r="CB83" s="45"/>
      <c r="CC83" s="265" t="s">
        <v>325</v>
      </c>
      <c r="CE83" s="45"/>
      <c r="CF83" s="45"/>
      <c r="CG83" s="45"/>
      <c r="CH83" s="45"/>
      <c r="CI83" s="45"/>
      <c r="CJ83" s="45"/>
      <c r="CK83" s="45"/>
      <c r="CL83" s="45"/>
      <c r="CM83" s="45"/>
      <c r="CN83" s="45"/>
      <c r="CO83" s="45"/>
      <c r="CP83" s="45"/>
      <c r="CQ83" s="45"/>
      <c r="CR83" s="45"/>
      <c r="CS83" s="45"/>
      <c r="CT83" s="45"/>
      <c r="CU83" s="45"/>
      <c r="CV83" s="45"/>
      <c r="CW83" s="45"/>
      <c r="CX83" s="45"/>
      <c r="CY83" s="45"/>
      <c r="CZ83" s="45"/>
      <c r="DA83" s="45"/>
      <c r="DB83" s="45"/>
      <c r="DC83" s="45"/>
      <c r="DD83" s="45"/>
      <c r="DE83" s="45"/>
      <c r="DF83" s="45"/>
      <c r="DG83" s="45"/>
      <c r="DH83" s="45"/>
      <c r="DI83" s="45"/>
      <c r="DJ83" s="45"/>
      <c r="DN83" s="45"/>
      <c r="DO83" s="45"/>
      <c r="DP83" s="265" t="s">
        <v>325</v>
      </c>
      <c r="DR83" s="45"/>
      <c r="DS83" s="45"/>
      <c r="DT83" s="45"/>
      <c r="DU83" s="45"/>
      <c r="DV83" s="45"/>
      <c r="DW83" s="45"/>
      <c r="DX83" s="45"/>
      <c r="DY83" s="45"/>
      <c r="DZ83" s="45"/>
      <c r="EA83" s="45"/>
      <c r="EB83" s="45"/>
      <c r="EC83" s="45"/>
      <c r="ED83" s="45"/>
      <c r="EE83" s="45"/>
      <c r="EF83" s="45"/>
      <c r="EG83" s="45"/>
      <c r="EH83" s="45"/>
      <c r="EI83" s="45"/>
      <c r="EJ83" s="45"/>
      <c r="EK83" s="45"/>
      <c r="EL83" s="45"/>
      <c r="EM83" s="45"/>
      <c r="EN83" s="45"/>
      <c r="EO83" s="45"/>
      <c r="EP83" s="45"/>
      <c r="EQ83" s="45"/>
      <c r="ER83" s="45"/>
      <c r="ES83" s="45"/>
      <c r="ET83" s="45"/>
      <c r="EU83" s="45"/>
      <c r="EV83" s="45"/>
      <c r="EW83" s="45"/>
    </row>
    <row r="84" spans="1:153" x14ac:dyDescent="0.35">
      <c r="A84" s="45"/>
      <c r="B84" s="45"/>
      <c r="C84" s="45"/>
      <c r="D84" s="45"/>
      <c r="E84" s="45"/>
      <c r="F84" s="45"/>
      <c r="G84" s="45"/>
      <c r="H84" s="45"/>
      <c r="I84" s="45"/>
      <c r="J84" s="45"/>
      <c r="K84" s="45"/>
      <c r="L84" s="45"/>
      <c r="M84" s="45"/>
      <c r="N84" s="45"/>
      <c r="O84" s="45"/>
      <c r="P84" s="45"/>
      <c r="Q84" s="45"/>
      <c r="R84" s="45"/>
      <c r="S84" s="45"/>
      <c r="T84" s="45"/>
      <c r="U84" s="45"/>
      <c r="V84" s="45"/>
      <c r="W84" s="45"/>
      <c r="X84" s="45"/>
      <c r="Y84" s="45"/>
      <c r="Z84" s="45"/>
      <c r="AA84" s="45"/>
      <c r="AB84" s="45"/>
      <c r="AC84" s="45"/>
      <c r="AD84" s="45"/>
      <c r="AE84" s="45"/>
      <c r="AF84" s="45"/>
      <c r="AG84" s="45"/>
      <c r="AH84" s="45"/>
      <c r="AI84" s="45"/>
      <c r="AJ84" s="45"/>
      <c r="AN84" s="45"/>
      <c r="AO84" s="45"/>
      <c r="AP84" s="45"/>
      <c r="AQ84" s="45"/>
      <c r="AR84" s="45"/>
      <c r="AS84" s="45"/>
      <c r="AT84" s="45"/>
      <c r="AU84" s="45"/>
      <c r="AV84" s="45"/>
      <c r="AW84" s="45"/>
      <c r="AX84" s="45"/>
      <c r="AY84" s="45"/>
      <c r="AZ84" s="45"/>
      <c r="BA84" s="45"/>
      <c r="BB84" s="45"/>
      <c r="BC84" s="45"/>
      <c r="BD84" s="45"/>
      <c r="BE84" s="45"/>
      <c r="BF84" s="45"/>
      <c r="BG84" s="45"/>
      <c r="BH84" s="45"/>
      <c r="BI84" s="45"/>
      <c r="BJ84" s="45"/>
      <c r="BK84" s="45"/>
      <c r="BL84" s="45"/>
      <c r="BM84" s="45"/>
      <c r="BN84" s="45"/>
      <c r="BO84" s="45"/>
      <c r="BP84" s="45"/>
      <c r="BQ84" s="45"/>
      <c r="BR84" s="45"/>
      <c r="BS84" s="45"/>
      <c r="BT84" s="45"/>
      <c r="BU84" s="45"/>
      <c r="BV84" s="45"/>
      <c r="BW84" s="45"/>
      <c r="CA84" s="45"/>
      <c r="CB84" s="45"/>
      <c r="CC84" s="45"/>
      <c r="CD84" s="45"/>
      <c r="CE84" s="45"/>
      <c r="CF84" s="45"/>
      <c r="CG84" s="45"/>
      <c r="CH84" s="45"/>
      <c r="CI84" s="45"/>
      <c r="CJ84" s="45"/>
      <c r="CK84" s="45"/>
      <c r="CL84" s="45"/>
      <c r="CM84" s="45"/>
      <c r="CN84" s="45"/>
      <c r="CO84" s="45"/>
      <c r="CP84" s="45"/>
      <c r="CQ84" s="45"/>
      <c r="CR84" s="45"/>
      <c r="CS84" s="45"/>
      <c r="CT84" s="45"/>
      <c r="CU84" s="45"/>
      <c r="CV84" s="45"/>
      <c r="CW84" s="45"/>
      <c r="CX84" s="45"/>
      <c r="CY84" s="45"/>
      <c r="CZ84" s="45"/>
      <c r="DA84" s="45"/>
      <c r="DB84" s="45"/>
      <c r="DC84" s="45"/>
      <c r="DD84" s="45"/>
      <c r="DE84" s="45"/>
      <c r="DF84" s="45"/>
      <c r="DG84" s="45"/>
      <c r="DH84" s="45"/>
      <c r="DI84" s="45"/>
      <c r="DJ84" s="45"/>
      <c r="DN84" s="45"/>
      <c r="DO84" s="45"/>
      <c r="DP84" s="45"/>
      <c r="DQ84" s="45"/>
      <c r="DR84" s="45"/>
      <c r="DS84" s="45"/>
      <c r="DT84" s="45"/>
      <c r="DU84" s="45"/>
      <c r="DV84" s="45"/>
      <c r="DW84" s="45"/>
      <c r="DX84" s="45"/>
      <c r="DY84" s="45"/>
      <c r="DZ84" s="45"/>
      <c r="EA84" s="45"/>
      <c r="EB84" s="45"/>
      <c r="EC84" s="45"/>
      <c r="ED84" s="45"/>
      <c r="EE84" s="45"/>
      <c r="EF84" s="45"/>
      <c r="EG84" s="45"/>
      <c r="EH84" s="45"/>
      <c r="EI84" s="45"/>
      <c r="EJ84" s="45"/>
      <c r="EK84" s="45"/>
      <c r="EL84" s="45"/>
      <c r="EM84" s="45"/>
      <c r="EN84" s="45"/>
      <c r="EO84" s="45"/>
      <c r="EP84" s="45"/>
      <c r="EQ84" s="45"/>
      <c r="ER84" s="45"/>
      <c r="ES84" s="45"/>
      <c r="ET84" s="45"/>
      <c r="EU84" s="45"/>
      <c r="EV84" s="45"/>
      <c r="EW84" s="45"/>
    </row>
    <row r="85" spans="1:153" x14ac:dyDescent="0.35">
      <c r="A85" s="45"/>
      <c r="B85" s="45"/>
      <c r="C85" s="45" t="s">
        <v>326</v>
      </c>
      <c r="E85" s="45"/>
      <c r="F85" s="45"/>
      <c r="G85" s="45"/>
      <c r="H85" s="45"/>
      <c r="I85" s="45"/>
      <c r="J85" s="45"/>
      <c r="K85" s="45"/>
      <c r="L85" s="45"/>
      <c r="M85" s="45"/>
      <c r="N85" s="45"/>
      <c r="O85" s="45"/>
      <c r="P85" s="45" t="s">
        <v>327</v>
      </c>
      <c r="Q85" s="45" t="s">
        <v>0</v>
      </c>
      <c r="R85" s="961">
        <f>AE26</f>
        <v>38.227203876694198</v>
      </c>
      <c r="S85" s="962"/>
      <c r="T85" s="962"/>
      <c r="U85" s="962"/>
      <c r="V85" s="45" t="s">
        <v>11</v>
      </c>
      <c r="W85" s="45"/>
      <c r="X85" s="45"/>
      <c r="Y85" s="45"/>
      <c r="Z85" s="45"/>
      <c r="AA85" s="45"/>
      <c r="AB85" s="45"/>
      <c r="AC85" s="45"/>
      <c r="AD85" s="45"/>
      <c r="AE85" s="45"/>
      <c r="AF85" s="45"/>
      <c r="AG85" s="45"/>
      <c r="AH85" s="45"/>
      <c r="AI85" s="45"/>
      <c r="AJ85" s="45"/>
      <c r="AN85" s="45"/>
      <c r="AO85" s="45"/>
      <c r="AP85" s="45" t="s">
        <v>326</v>
      </c>
      <c r="AR85" s="45"/>
      <c r="AS85" s="45"/>
      <c r="AT85" s="45"/>
      <c r="AU85" s="45"/>
      <c r="AV85" s="45"/>
      <c r="AW85" s="45"/>
      <c r="AX85" s="45"/>
      <c r="AY85" s="45"/>
      <c r="AZ85" s="45"/>
      <c r="BA85" s="45"/>
      <c r="BB85" s="45"/>
      <c r="BC85" s="45" t="s">
        <v>327</v>
      </c>
      <c r="BD85" s="45" t="s">
        <v>0</v>
      </c>
      <c r="BE85" s="961">
        <f>BR26</f>
        <v>4.3752255844605896</v>
      </c>
      <c r="BF85" s="962"/>
      <c r="BG85" s="962"/>
      <c r="BH85" s="962"/>
      <c r="BI85" s="45" t="s">
        <v>11</v>
      </c>
      <c r="BJ85" s="45"/>
      <c r="BK85" s="45"/>
      <c r="BL85" s="45"/>
      <c r="BM85" s="45"/>
      <c r="BN85" s="45"/>
      <c r="BO85" s="45"/>
      <c r="BP85" s="45"/>
      <c r="BQ85" s="45"/>
      <c r="BR85" s="45"/>
      <c r="BS85" s="45"/>
      <c r="BT85" s="45"/>
      <c r="BU85" s="45"/>
      <c r="BV85" s="45"/>
      <c r="BW85" s="45"/>
      <c r="CA85" s="45"/>
      <c r="CB85" s="45"/>
      <c r="CC85" s="45" t="s">
        <v>326</v>
      </c>
      <c r="CE85" s="45"/>
      <c r="CF85" s="45"/>
      <c r="CG85" s="45"/>
      <c r="CH85" s="45"/>
      <c r="CI85" s="45"/>
      <c r="CJ85" s="45"/>
      <c r="CK85" s="45"/>
      <c r="CL85" s="45"/>
      <c r="CM85" s="45"/>
      <c r="CN85" s="45"/>
      <c r="CO85" s="45"/>
      <c r="CP85" s="45" t="s">
        <v>327</v>
      </c>
      <c r="CQ85" s="45" t="s">
        <v>0</v>
      </c>
      <c r="CR85" s="961">
        <f>DE26</f>
        <v>13.181260222836327</v>
      </c>
      <c r="CS85" s="962"/>
      <c r="CT85" s="962"/>
      <c r="CU85" s="962"/>
      <c r="CV85" s="45" t="s">
        <v>11</v>
      </c>
      <c r="CW85" s="45"/>
      <c r="CX85" s="45"/>
      <c r="CY85" s="45"/>
      <c r="CZ85" s="45"/>
      <c r="DA85" s="45"/>
      <c r="DB85" s="45"/>
      <c r="DC85" s="45"/>
      <c r="DD85" s="45"/>
      <c r="DE85" s="45"/>
      <c r="DF85" s="45"/>
      <c r="DG85" s="45"/>
      <c r="DH85" s="45"/>
      <c r="DI85" s="45"/>
      <c r="DJ85" s="45"/>
      <c r="DN85" s="45"/>
      <c r="DO85" s="45"/>
      <c r="DP85" s="45" t="s">
        <v>326</v>
      </c>
      <c r="DR85" s="45"/>
      <c r="DS85" s="45"/>
      <c r="DT85" s="45"/>
      <c r="DU85" s="45"/>
      <c r="DV85" s="45"/>
      <c r="DW85" s="45"/>
      <c r="DX85" s="45"/>
      <c r="DY85" s="45"/>
      <c r="DZ85" s="45"/>
      <c r="EA85" s="45"/>
      <c r="EB85" s="45"/>
      <c r="EC85" s="45" t="s">
        <v>327</v>
      </c>
      <c r="ED85" s="45" t="s">
        <v>0</v>
      </c>
      <c r="EE85" s="961">
        <f>ER26</f>
        <v>18.589455377567809</v>
      </c>
      <c r="EF85" s="962"/>
      <c r="EG85" s="962"/>
      <c r="EH85" s="962"/>
      <c r="EI85" s="45" t="s">
        <v>11</v>
      </c>
      <c r="EJ85" s="45"/>
      <c r="EK85" s="45"/>
      <c r="EL85" s="45"/>
      <c r="EM85" s="45"/>
      <c r="EN85" s="45"/>
      <c r="EO85" s="45"/>
      <c r="EP85" s="45"/>
      <c r="EQ85" s="45"/>
      <c r="ER85" s="45"/>
      <c r="ES85" s="45"/>
      <c r="ET85" s="45"/>
      <c r="EU85" s="45"/>
      <c r="EV85" s="45"/>
      <c r="EW85" s="45"/>
    </row>
    <row r="86" spans="1:153" x14ac:dyDescent="0.35">
      <c r="A86" s="45"/>
      <c r="B86" s="45"/>
      <c r="C86" s="45" t="s">
        <v>328</v>
      </c>
      <c r="E86" s="45"/>
      <c r="F86" s="45"/>
      <c r="G86" s="45"/>
      <c r="H86" s="45"/>
      <c r="I86" s="45"/>
      <c r="J86" s="45"/>
      <c r="K86" s="45"/>
      <c r="L86" s="45"/>
      <c r="M86" s="45"/>
      <c r="N86" s="45"/>
      <c r="O86" s="45"/>
      <c r="P86" s="115" t="s">
        <v>329</v>
      </c>
      <c r="Q86" s="45" t="s">
        <v>0</v>
      </c>
      <c r="R86" s="961">
        <f>R64/R65</f>
        <v>6.666666666666667</v>
      </c>
      <c r="S86" s="961"/>
      <c r="T86" s="961"/>
      <c r="U86" s="961"/>
      <c r="V86" s="253"/>
      <c r="W86" s="45"/>
      <c r="X86" s="45"/>
      <c r="Y86" s="45"/>
      <c r="Z86" s="45"/>
      <c r="AA86" s="45"/>
      <c r="AB86" s="45"/>
      <c r="AC86" s="45"/>
      <c r="AD86" s="45"/>
      <c r="AE86" s="45"/>
      <c r="AF86" s="45"/>
      <c r="AG86" s="45"/>
      <c r="AH86" s="45"/>
      <c r="AI86" s="45"/>
      <c r="AJ86" s="45"/>
      <c r="AN86" s="45"/>
      <c r="AO86" s="45"/>
      <c r="AP86" s="45" t="s">
        <v>328</v>
      </c>
      <c r="AR86" s="45"/>
      <c r="AS86" s="45"/>
      <c r="AT86" s="45"/>
      <c r="AU86" s="45"/>
      <c r="AV86" s="45"/>
      <c r="AW86" s="45"/>
      <c r="AX86" s="45"/>
      <c r="AY86" s="45"/>
      <c r="AZ86" s="45"/>
      <c r="BA86" s="45"/>
      <c r="BB86" s="45"/>
      <c r="BC86" s="115" t="s">
        <v>329</v>
      </c>
      <c r="BD86" s="45" t="s">
        <v>0</v>
      </c>
      <c r="BE86" s="961">
        <f>BE64/BE65</f>
        <v>6.666666666666667</v>
      </c>
      <c r="BF86" s="961"/>
      <c r="BG86" s="961"/>
      <c r="BH86" s="961"/>
      <c r="BI86" s="253"/>
      <c r="BJ86" s="45"/>
      <c r="BK86" s="45"/>
      <c r="BL86" s="45"/>
      <c r="BM86" s="45"/>
      <c r="BN86" s="45"/>
      <c r="BO86" s="45"/>
      <c r="BP86" s="45"/>
      <c r="BQ86" s="45"/>
      <c r="BR86" s="45"/>
      <c r="BS86" s="45"/>
      <c r="BT86" s="45"/>
      <c r="BU86" s="45"/>
      <c r="BV86" s="45"/>
      <c r="BW86" s="45"/>
      <c r="CA86" s="45"/>
      <c r="CB86" s="45"/>
      <c r="CC86" s="45" t="s">
        <v>328</v>
      </c>
      <c r="CE86" s="45"/>
      <c r="CF86" s="45"/>
      <c r="CG86" s="45"/>
      <c r="CH86" s="45"/>
      <c r="CI86" s="45"/>
      <c r="CJ86" s="45"/>
      <c r="CK86" s="45"/>
      <c r="CL86" s="45"/>
      <c r="CM86" s="45"/>
      <c r="CN86" s="45"/>
      <c r="CO86" s="45"/>
      <c r="CP86" s="315" t="s">
        <v>329</v>
      </c>
      <c r="CQ86" s="45" t="s">
        <v>0</v>
      </c>
      <c r="CR86" s="961">
        <f>CR64/CR65</f>
        <v>6.666666666666667</v>
      </c>
      <c r="CS86" s="961"/>
      <c r="CT86" s="961"/>
      <c r="CU86" s="961"/>
      <c r="CV86" s="253"/>
      <c r="CW86" s="45"/>
      <c r="CX86" s="45"/>
      <c r="CY86" s="45"/>
      <c r="CZ86" s="45"/>
      <c r="DA86" s="45"/>
      <c r="DB86" s="45"/>
      <c r="DC86" s="45"/>
      <c r="DD86" s="45"/>
      <c r="DE86" s="45"/>
      <c r="DF86" s="45"/>
      <c r="DG86" s="45"/>
      <c r="DH86" s="45"/>
      <c r="DI86" s="45"/>
      <c r="DJ86" s="45"/>
      <c r="DN86" s="45"/>
      <c r="DO86" s="45"/>
      <c r="DP86" s="45" t="s">
        <v>328</v>
      </c>
      <c r="DR86" s="45"/>
      <c r="DS86" s="45"/>
      <c r="DT86" s="45"/>
      <c r="DU86" s="45"/>
      <c r="DV86" s="45"/>
      <c r="DW86" s="45"/>
      <c r="DX86" s="45"/>
      <c r="DY86" s="45"/>
      <c r="DZ86" s="45"/>
      <c r="EA86" s="45"/>
      <c r="EB86" s="45"/>
      <c r="EC86" s="470" t="s">
        <v>329</v>
      </c>
      <c r="ED86" s="45" t="s">
        <v>0</v>
      </c>
      <c r="EE86" s="961">
        <f>EE64/EE65</f>
        <v>6.666666666666667</v>
      </c>
      <c r="EF86" s="961"/>
      <c r="EG86" s="961"/>
      <c r="EH86" s="961"/>
      <c r="EI86" s="253"/>
      <c r="EJ86" s="45"/>
      <c r="EK86" s="45"/>
      <c r="EL86" s="45"/>
      <c r="EM86" s="45"/>
      <c r="EN86" s="45"/>
      <c r="EO86" s="45"/>
      <c r="EP86" s="45"/>
      <c r="EQ86" s="45"/>
      <c r="ER86" s="45"/>
      <c r="ES86" s="45"/>
      <c r="ET86" s="45"/>
      <c r="EU86" s="45"/>
      <c r="EV86" s="45"/>
      <c r="EW86" s="45"/>
    </row>
    <row r="87" spans="1:153" x14ac:dyDescent="0.35">
      <c r="A87" s="45"/>
      <c r="B87" s="45"/>
      <c r="C87" s="45" t="s">
        <v>330</v>
      </c>
      <c r="E87" s="45"/>
      <c r="F87" s="45"/>
      <c r="G87" s="45"/>
      <c r="H87" s="45"/>
      <c r="I87" s="45"/>
      <c r="J87" s="45"/>
      <c r="K87" s="45"/>
      <c r="L87" s="45"/>
      <c r="M87" s="45"/>
      <c r="N87" s="45"/>
      <c r="O87" s="45"/>
      <c r="P87" s="45"/>
      <c r="Q87" s="45"/>
      <c r="R87" s="45"/>
      <c r="S87" s="45"/>
      <c r="T87" s="45"/>
      <c r="U87" s="45"/>
      <c r="V87" s="45"/>
      <c r="W87" s="45"/>
      <c r="X87" s="45"/>
      <c r="Y87" s="45"/>
      <c r="Z87" s="45"/>
      <c r="AA87" s="45"/>
      <c r="AB87" s="45"/>
      <c r="AC87" s="45"/>
      <c r="AD87" s="45"/>
      <c r="AE87" s="45"/>
      <c r="AF87" s="45"/>
      <c r="AG87" s="45"/>
      <c r="AH87" s="45"/>
      <c r="AI87" s="45"/>
      <c r="AJ87" s="45"/>
      <c r="AN87" s="45"/>
      <c r="AO87" s="45"/>
      <c r="AP87" s="45" t="s">
        <v>330</v>
      </c>
      <c r="AR87" s="45"/>
      <c r="AS87" s="45"/>
      <c r="AT87" s="45"/>
      <c r="AU87" s="45"/>
      <c r="AV87" s="45"/>
      <c r="AW87" s="45"/>
      <c r="AX87" s="45"/>
      <c r="AY87" s="45"/>
      <c r="AZ87" s="45"/>
      <c r="BA87" s="45"/>
      <c r="BB87" s="45"/>
      <c r="BC87" s="45"/>
      <c r="BD87" s="45"/>
      <c r="BE87" s="45"/>
      <c r="BF87" s="45"/>
      <c r="BG87" s="45"/>
      <c r="BH87" s="45"/>
      <c r="BI87" s="45"/>
      <c r="BJ87" s="45"/>
      <c r="BK87" s="45"/>
      <c r="BL87" s="45"/>
      <c r="BM87" s="45"/>
      <c r="BN87" s="45"/>
      <c r="BO87" s="45"/>
      <c r="BP87" s="45"/>
      <c r="BQ87" s="45"/>
      <c r="BR87" s="45"/>
      <c r="BS87" s="45"/>
      <c r="BT87" s="45"/>
      <c r="BU87" s="45"/>
      <c r="BV87" s="45"/>
      <c r="BW87" s="45"/>
      <c r="CA87" s="45"/>
      <c r="CB87" s="45"/>
      <c r="CC87" s="45" t="s">
        <v>330</v>
      </c>
      <c r="CE87" s="45"/>
      <c r="CF87" s="45"/>
      <c r="CG87" s="45"/>
      <c r="CH87" s="45"/>
      <c r="CI87" s="45"/>
      <c r="CJ87" s="45"/>
      <c r="CK87" s="45"/>
      <c r="CL87" s="45"/>
      <c r="CM87" s="45"/>
      <c r="CN87" s="45"/>
      <c r="CO87" s="45"/>
      <c r="CP87" s="45"/>
      <c r="CQ87" s="45"/>
      <c r="CR87" s="45"/>
      <c r="CS87" s="45"/>
      <c r="CT87" s="45"/>
      <c r="CU87" s="45"/>
      <c r="CV87" s="45"/>
      <c r="CW87" s="45"/>
      <c r="CX87" s="45"/>
      <c r="CY87" s="45"/>
      <c r="CZ87" s="45"/>
      <c r="DA87" s="45"/>
      <c r="DB87" s="45"/>
      <c r="DC87" s="45"/>
      <c r="DD87" s="45"/>
      <c r="DE87" s="45"/>
      <c r="DF87" s="45"/>
      <c r="DG87" s="45"/>
      <c r="DH87" s="45"/>
      <c r="DI87" s="45"/>
      <c r="DJ87" s="45"/>
      <c r="DN87" s="45"/>
      <c r="DO87" s="45"/>
      <c r="DP87" s="45" t="s">
        <v>330</v>
      </c>
      <c r="DR87" s="45"/>
      <c r="DS87" s="45"/>
      <c r="DT87" s="45"/>
      <c r="DU87" s="45"/>
      <c r="DV87" s="45"/>
      <c r="DW87" s="45"/>
      <c r="DX87" s="45"/>
      <c r="DY87" s="45"/>
      <c r="DZ87" s="45"/>
      <c r="EA87" s="45"/>
      <c r="EB87" s="45"/>
      <c r="EC87" s="45"/>
      <c r="ED87" s="45"/>
      <c r="EE87" s="45"/>
      <c r="EF87" s="45"/>
      <c r="EG87" s="45"/>
      <c r="EH87" s="45"/>
      <c r="EI87" s="45"/>
      <c r="EJ87" s="45"/>
      <c r="EK87" s="45"/>
      <c r="EL87" s="45"/>
      <c r="EM87" s="45"/>
      <c r="EN87" s="45"/>
      <c r="EO87" s="45"/>
      <c r="EP87" s="45"/>
      <c r="EQ87" s="45"/>
      <c r="ER87" s="45"/>
      <c r="ES87" s="45"/>
      <c r="ET87" s="45"/>
      <c r="EU87" s="45"/>
      <c r="EV87" s="45"/>
      <c r="EW87" s="45"/>
    </row>
    <row r="88" spans="1:153" x14ac:dyDescent="0.35">
      <c r="A88" s="45"/>
      <c r="B88" s="45"/>
      <c r="C88" s="45" t="s">
        <v>331</v>
      </c>
      <c r="E88" s="45"/>
      <c r="F88" s="45"/>
      <c r="G88" s="45"/>
      <c r="H88" s="45"/>
      <c r="J88" s="45"/>
      <c r="K88" s="45"/>
      <c r="L88" s="45"/>
      <c r="M88" s="45"/>
      <c r="N88" s="45"/>
      <c r="O88" s="45"/>
      <c r="P88" s="45"/>
      <c r="Q88" s="45" t="s">
        <v>0</v>
      </c>
      <c r="R88" s="963">
        <f>R68*(R70)^3*0.333+R86*R63*(R69-R70)^2</f>
        <v>1036481258.5096098</v>
      </c>
      <c r="S88" s="963"/>
      <c r="T88" s="963"/>
      <c r="U88" s="963"/>
      <c r="V88" s="963"/>
      <c r="W88" s="276" t="s">
        <v>258</v>
      </c>
      <c r="X88" s="277"/>
      <c r="Y88" s="277"/>
      <c r="Z88" s="45"/>
      <c r="AA88" s="45"/>
      <c r="AB88" s="45"/>
      <c r="AC88" s="45"/>
      <c r="AD88" s="45"/>
      <c r="AE88" s="45"/>
      <c r="AF88" s="45"/>
      <c r="AG88" s="45"/>
      <c r="AH88" s="45"/>
      <c r="AI88" s="45"/>
      <c r="AJ88" s="45"/>
      <c r="AN88" s="45"/>
      <c r="AO88" s="45"/>
      <c r="AP88" s="45" t="s">
        <v>331</v>
      </c>
      <c r="AR88" s="45"/>
      <c r="AS88" s="45"/>
      <c r="AT88" s="45"/>
      <c r="AU88" s="45"/>
      <c r="AW88" s="45"/>
      <c r="AX88" s="45"/>
      <c r="AY88" s="45"/>
      <c r="AZ88" s="45"/>
      <c r="BA88" s="45"/>
      <c r="BB88" s="45"/>
      <c r="BC88" s="45"/>
      <c r="BD88" s="45" t="s">
        <v>0</v>
      </c>
      <c r="BE88" s="963">
        <f>BE68*(BE70)^3*0.333+BE86*BE63*(BE69-BE70)^2</f>
        <v>952590365.52161288</v>
      </c>
      <c r="BF88" s="963"/>
      <c r="BG88" s="963"/>
      <c r="BH88" s="963"/>
      <c r="BI88" s="963"/>
      <c r="BJ88" s="276" t="s">
        <v>258</v>
      </c>
      <c r="BK88" s="277"/>
      <c r="BL88" s="277"/>
      <c r="BM88" s="45"/>
      <c r="BN88" s="45"/>
      <c r="BO88" s="45"/>
      <c r="BP88" s="45"/>
      <c r="BQ88" s="45"/>
      <c r="BR88" s="45"/>
      <c r="BS88" s="45"/>
      <c r="BT88" s="45"/>
      <c r="BU88" s="45"/>
      <c r="BV88" s="45"/>
      <c r="BW88" s="45"/>
      <c r="CA88" s="45"/>
      <c r="CB88" s="45"/>
      <c r="CC88" s="45" t="s">
        <v>331</v>
      </c>
      <c r="CE88" s="45"/>
      <c r="CF88" s="45"/>
      <c r="CG88" s="45"/>
      <c r="CH88" s="45"/>
      <c r="CJ88" s="45"/>
      <c r="CK88" s="45"/>
      <c r="CL88" s="45"/>
      <c r="CM88" s="45"/>
      <c r="CN88" s="45"/>
      <c r="CO88" s="45"/>
      <c r="CP88" s="45"/>
      <c r="CQ88" s="45" t="s">
        <v>0</v>
      </c>
      <c r="CR88" s="963">
        <f>CR68*(CR70)^3*0.333+CR86*CR63*(CR69-CR70)^2</f>
        <v>952590365.52161288</v>
      </c>
      <c r="CS88" s="963"/>
      <c r="CT88" s="963"/>
      <c r="CU88" s="963"/>
      <c r="CV88" s="963"/>
      <c r="CW88" s="313" t="s">
        <v>258</v>
      </c>
      <c r="CX88" s="277"/>
      <c r="CY88" s="277"/>
      <c r="CZ88" s="45"/>
      <c r="DA88" s="45"/>
      <c r="DB88" s="45"/>
      <c r="DC88" s="45"/>
      <c r="DD88" s="45"/>
      <c r="DE88" s="45"/>
      <c r="DF88" s="45"/>
      <c r="DG88" s="45"/>
      <c r="DH88" s="45"/>
      <c r="DI88" s="45"/>
      <c r="DJ88" s="45"/>
      <c r="DN88" s="45"/>
      <c r="DO88" s="45"/>
      <c r="DP88" s="45" t="s">
        <v>331</v>
      </c>
      <c r="DR88" s="45"/>
      <c r="DS88" s="45"/>
      <c r="DT88" s="45"/>
      <c r="DU88" s="45"/>
      <c r="DW88" s="45"/>
      <c r="DX88" s="45"/>
      <c r="DY88" s="45"/>
      <c r="DZ88" s="45"/>
      <c r="EA88" s="45"/>
      <c r="EB88" s="45"/>
      <c r="EC88" s="45"/>
      <c r="ED88" s="45" t="s">
        <v>0</v>
      </c>
      <c r="EE88" s="963">
        <f>EE68*(EE70)^3*0.333+EE86*EE63*(EE69-EE70)^2</f>
        <v>1314715602.0016947</v>
      </c>
      <c r="EF88" s="963"/>
      <c r="EG88" s="963"/>
      <c r="EH88" s="963"/>
      <c r="EI88" s="963"/>
      <c r="EJ88" s="472" t="s">
        <v>258</v>
      </c>
      <c r="EK88" s="277"/>
      <c r="EL88" s="277"/>
      <c r="EM88" s="45"/>
      <c r="EN88" s="45"/>
      <c r="EO88" s="45"/>
      <c r="EP88" s="45"/>
      <c r="EQ88" s="45"/>
      <c r="ER88" s="45"/>
      <c r="ES88" s="45"/>
      <c r="ET88" s="45"/>
      <c r="EU88" s="45"/>
      <c r="EV88" s="45"/>
      <c r="EW88" s="45"/>
    </row>
    <row r="89" spans="1:153" ht="17" x14ac:dyDescent="0.45">
      <c r="A89" s="45"/>
      <c r="B89" s="45"/>
      <c r="C89" s="45" t="s">
        <v>332</v>
      </c>
      <c r="E89" s="45"/>
      <c r="F89" s="45"/>
      <c r="G89" s="45"/>
      <c r="H89" s="45"/>
      <c r="I89" s="45"/>
      <c r="J89" s="45"/>
      <c r="K89" s="45"/>
      <c r="L89" s="45"/>
      <c r="M89" s="45"/>
      <c r="N89" s="45"/>
      <c r="O89" s="45"/>
      <c r="P89" s="115" t="s">
        <v>333</v>
      </c>
      <c r="Q89" s="45" t="s">
        <v>0</v>
      </c>
      <c r="R89" s="964">
        <f>((R86*R85*10^6)/(R88/(R69-R70)))</f>
        <v>83.451021676977859</v>
      </c>
      <c r="S89" s="964"/>
      <c r="T89" s="964"/>
      <c r="U89" s="964"/>
      <c r="V89" s="964"/>
      <c r="W89" s="964"/>
      <c r="X89" s="964"/>
      <c r="Y89" s="278"/>
      <c r="Z89" s="45"/>
      <c r="AA89" s="45"/>
      <c r="AB89" s="45"/>
      <c r="AC89" s="45"/>
      <c r="AD89" s="45"/>
      <c r="AE89" s="45"/>
      <c r="AF89" s="45"/>
      <c r="AG89" s="45"/>
      <c r="AH89" s="45"/>
      <c r="AI89" s="45"/>
      <c r="AJ89" s="45"/>
      <c r="AN89" s="45"/>
      <c r="AO89" s="45"/>
      <c r="AP89" s="45" t="s">
        <v>332</v>
      </c>
      <c r="AR89" s="45"/>
      <c r="AS89" s="45"/>
      <c r="AT89" s="45"/>
      <c r="AU89" s="45"/>
      <c r="AV89" s="45"/>
      <c r="AW89" s="45"/>
      <c r="AX89" s="45"/>
      <c r="AY89" s="45"/>
      <c r="AZ89" s="45"/>
      <c r="BA89" s="45"/>
      <c r="BB89" s="45"/>
      <c r="BC89" s="115" t="s">
        <v>333</v>
      </c>
      <c r="BD89" s="45" t="s">
        <v>0</v>
      </c>
      <c r="BE89" s="964">
        <f>((BE86*BE85*10^6)/(BE88/(BE69-BE70)))</f>
        <v>12.223442636228929</v>
      </c>
      <c r="BF89" s="964"/>
      <c r="BG89" s="964"/>
      <c r="BH89" s="964"/>
      <c r="BI89" s="964"/>
      <c r="BJ89" s="964"/>
      <c r="BK89" s="964"/>
      <c r="BL89" s="278"/>
      <c r="BM89" s="45"/>
      <c r="BN89" s="45"/>
      <c r="BO89" s="45"/>
      <c r="BP89" s="45"/>
      <c r="BQ89" s="45"/>
      <c r="BR89" s="45"/>
      <c r="BS89" s="45"/>
      <c r="BT89" s="45"/>
      <c r="BU89" s="45"/>
      <c r="BV89" s="45"/>
      <c r="BW89" s="45"/>
      <c r="CA89" s="45"/>
      <c r="CB89" s="45"/>
      <c r="CC89" s="45" t="s">
        <v>332</v>
      </c>
      <c r="CE89" s="45"/>
      <c r="CF89" s="45"/>
      <c r="CG89" s="45"/>
      <c r="CH89" s="45"/>
      <c r="CI89" s="45"/>
      <c r="CJ89" s="45"/>
      <c r="CK89" s="45"/>
      <c r="CL89" s="45"/>
      <c r="CM89" s="45"/>
      <c r="CN89" s="45"/>
      <c r="CO89" s="45"/>
      <c r="CP89" s="315" t="s">
        <v>333</v>
      </c>
      <c r="CQ89" s="45" t="s">
        <v>0</v>
      </c>
      <c r="CR89" s="964">
        <f>((CR86*CR85*10^6)/(CR88/(CR69-CR70)))</f>
        <v>36.825616210349096</v>
      </c>
      <c r="CS89" s="964"/>
      <c r="CT89" s="964"/>
      <c r="CU89" s="964"/>
      <c r="CV89" s="964"/>
      <c r="CW89" s="964"/>
      <c r="CX89" s="964"/>
      <c r="CY89" s="278"/>
      <c r="CZ89" s="45"/>
      <c r="DA89" s="45"/>
      <c r="DB89" s="45"/>
      <c r="DC89" s="45"/>
      <c r="DD89" s="45"/>
      <c r="DE89" s="45"/>
      <c r="DF89" s="45"/>
      <c r="DG89" s="45"/>
      <c r="DH89" s="45"/>
      <c r="DI89" s="45"/>
      <c r="DJ89" s="45"/>
      <c r="DN89" s="45"/>
      <c r="DO89" s="45"/>
      <c r="DP89" s="45" t="s">
        <v>332</v>
      </c>
      <c r="DR89" s="45"/>
      <c r="DS89" s="45"/>
      <c r="DT89" s="45"/>
      <c r="DU89" s="45"/>
      <c r="DV89" s="45"/>
      <c r="DW89" s="45"/>
      <c r="DX89" s="45"/>
      <c r="DY89" s="45"/>
      <c r="DZ89" s="45"/>
      <c r="EA89" s="45"/>
      <c r="EB89" s="45"/>
      <c r="EC89" s="470" t="s">
        <v>333</v>
      </c>
      <c r="ED89" s="45" t="s">
        <v>0</v>
      </c>
      <c r="EE89" s="964">
        <f>((EE86*EE85*10^6)/(EE88/(EE69-EE70)))</f>
        <v>36.310302651700482</v>
      </c>
      <c r="EF89" s="964"/>
      <c r="EG89" s="964"/>
      <c r="EH89" s="964"/>
      <c r="EI89" s="964"/>
      <c r="EJ89" s="964"/>
      <c r="EK89" s="964"/>
      <c r="EL89" s="278"/>
      <c r="EM89" s="45"/>
      <c r="EN89" s="45"/>
      <c r="EO89" s="45"/>
      <c r="EP89" s="45"/>
      <c r="EQ89" s="45"/>
      <c r="ER89" s="45"/>
      <c r="ES89" s="45"/>
      <c r="ET89" s="45"/>
      <c r="EU89" s="45"/>
      <c r="EV89" s="45"/>
      <c r="EW89" s="45"/>
    </row>
    <row r="90" spans="1:153" ht="17" x14ac:dyDescent="0.45">
      <c r="A90" s="45"/>
      <c r="B90" s="45"/>
      <c r="C90" s="45" t="s">
        <v>334</v>
      </c>
      <c r="E90" s="45"/>
      <c r="F90" s="45"/>
      <c r="G90" s="45"/>
      <c r="H90" s="45"/>
      <c r="I90" s="45"/>
      <c r="J90" s="45"/>
      <c r="K90" s="45"/>
      <c r="L90" s="45"/>
      <c r="M90" s="45"/>
      <c r="N90" s="45"/>
      <c r="O90" s="45"/>
      <c r="P90" s="45" t="s">
        <v>335</v>
      </c>
      <c r="Q90" s="45" t="s">
        <v>0</v>
      </c>
      <c r="R90" s="948">
        <v>0.5</v>
      </c>
      <c r="S90" s="948"/>
      <c r="T90" s="948"/>
      <c r="U90" s="279"/>
      <c r="V90" s="279"/>
      <c r="W90" s="279"/>
      <c r="X90" s="279"/>
      <c r="Y90" s="279"/>
      <c r="Z90" s="45"/>
      <c r="AA90" s="45"/>
      <c r="AB90" s="45"/>
      <c r="AC90" s="45"/>
      <c r="AD90" s="45"/>
      <c r="AE90" s="45"/>
      <c r="AF90" s="45"/>
      <c r="AG90" s="45"/>
      <c r="AH90" s="45"/>
      <c r="AI90" s="45"/>
      <c r="AJ90" s="45"/>
      <c r="AN90" s="45"/>
      <c r="AO90" s="45"/>
      <c r="AP90" s="45" t="s">
        <v>334</v>
      </c>
      <c r="AR90" s="45"/>
      <c r="AS90" s="45"/>
      <c r="AT90" s="45"/>
      <c r="AU90" s="45"/>
      <c r="AV90" s="45"/>
      <c r="AW90" s="45"/>
      <c r="AX90" s="45"/>
      <c r="AY90" s="45"/>
      <c r="AZ90" s="45"/>
      <c r="BA90" s="45"/>
      <c r="BB90" s="45"/>
      <c r="BC90" s="45" t="s">
        <v>335</v>
      </c>
      <c r="BD90" s="45" t="s">
        <v>0</v>
      </c>
      <c r="BE90" s="1026">
        <f>R90</f>
        <v>0.5</v>
      </c>
      <c r="BF90" s="1026"/>
      <c r="BG90" s="1026"/>
      <c r="BH90" s="279"/>
      <c r="BI90" s="279"/>
      <c r="BJ90" s="279"/>
      <c r="BK90" s="279"/>
      <c r="BL90" s="279"/>
      <c r="BM90" s="45"/>
      <c r="BN90" s="45"/>
      <c r="BO90" s="45"/>
      <c r="BP90" s="45"/>
      <c r="BQ90" s="45"/>
      <c r="BR90" s="45"/>
      <c r="BS90" s="45"/>
      <c r="BT90" s="45"/>
      <c r="BU90" s="45"/>
      <c r="BV90" s="45"/>
      <c r="BW90" s="45"/>
      <c r="CA90" s="45"/>
      <c r="CB90" s="45"/>
      <c r="CC90" s="45" t="s">
        <v>334</v>
      </c>
      <c r="CE90" s="45"/>
      <c r="CF90" s="45"/>
      <c r="CG90" s="45"/>
      <c r="CH90" s="45"/>
      <c r="CI90" s="45"/>
      <c r="CJ90" s="45"/>
      <c r="CK90" s="45"/>
      <c r="CL90" s="45"/>
      <c r="CM90" s="45"/>
      <c r="CN90" s="45"/>
      <c r="CO90" s="45"/>
      <c r="CP90" s="45" t="s">
        <v>335</v>
      </c>
      <c r="CQ90" s="45" t="s">
        <v>0</v>
      </c>
      <c r="CR90" s="1026">
        <f>BE90</f>
        <v>0.5</v>
      </c>
      <c r="CS90" s="1026"/>
      <c r="CT90" s="1026"/>
      <c r="CU90" s="279"/>
      <c r="CV90" s="279"/>
      <c r="CW90" s="279"/>
      <c r="CX90" s="279"/>
      <c r="CY90" s="279"/>
      <c r="CZ90" s="45"/>
      <c r="DA90" s="45"/>
      <c r="DB90" s="45"/>
      <c r="DC90" s="45"/>
      <c r="DD90" s="45"/>
      <c r="DE90" s="45"/>
      <c r="DF90" s="45"/>
      <c r="DG90" s="45"/>
      <c r="DH90" s="45"/>
      <c r="DI90" s="45"/>
      <c r="DJ90" s="45"/>
      <c r="DN90" s="45"/>
      <c r="DO90" s="45"/>
      <c r="DP90" s="45" t="s">
        <v>334</v>
      </c>
      <c r="DR90" s="45"/>
      <c r="DS90" s="45"/>
      <c r="DT90" s="45"/>
      <c r="DU90" s="45"/>
      <c r="DV90" s="45"/>
      <c r="DW90" s="45"/>
      <c r="DX90" s="45"/>
      <c r="DY90" s="45"/>
      <c r="DZ90" s="45"/>
      <c r="EA90" s="45"/>
      <c r="EB90" s="45"/>
      <c r="EC90" s="45" t="s">
        <v>335</v>
      </c>
      <c r="ED90" s="45" t="s">
        <v>0</v>
      </c>
      <c r="EE90" s="948">
        <v>0.5</v>
      </c>
      <c r="EF90" s="948"/>
      <c r="EG90" s="948"/>
      <c r="EH90" s="279"/>
      <c r="EI90" s="279"/>
      <c r="EJ90" s="279"/>
      <c r="EK90" s="279"/>
      <c r="EL90" s="279"/>
      <c r="EM90" s="45"/>
      <c r="EN90" s="45"/>
      <c r="EO90" s="45"/>
      <c r="EP90" s="45"/>
      <c r="EQ90" s="45"/>
      <c r="ER90" s="45"/>
      <c r="ES90" s="45"/>
      <c r="ET90" s="45"/>
      <c r="EU90" s="45"/>
      <c r="EV90" s="45"/>
      <c r="EW90" s="45"/>
    </row>
    <row r="91" spans="1:153" ht="17" x14ac:dyDescent="0.45">
      <c r="A91" s="45"/>
      <c r="B91" s="45"/>
      <c r="C91" s="45"/>
      <c r="E91" s="45"/>
      <c r="F91" s="45"/>
      <c r="G91" s="45"/>
      <c r="H91" s="45"/>
      <c r="I91" s="45"/>
      <c r="J91" s="45"/>
      <c r="K91" s="45"/>
      <c r="L91" s="45"/>
      <c r="M91" s="45" t="s">
        <v>336</v>
      </c>
      <c r="N91" s="45"/>
      <c r="O91" s="45"/>
      <c r="P91" s="45"/>
      <c r="Q91" s="45" t="s">
        <v>0</v>
      </c>
      <c r="R91" s="949">
        <f>Design!U54</f>
        <v>2.2144188509463216</v>
      </c>
      <c r="S91" s="949"/>
      <c r="T91" s="949"/>
      <c r="U91" s="949"/>
      <c r="V91" s="949"/>
      <c r="W91" s="949"/>
      <c r="X91" s="949"/>
      <c r="Y91" s="270" t="s">
        <v>310</v>
      </c>
      <c r="Z91" s="45"/>
      <c r="AA91" s="45"/>
      <c r="AB91" s="45"/>
      <c r="AC91" s="45"/>
      <c r="AD91" s="45"/>
      <c r="AE91" s="45"/>
      <c r="AF91" s="45"/>
      <c r="AG91" s="45"/>
      <c r="AH91" s="45"/>
      <c r="AI91" s="45"/>
      <c r="AJ91" s="45"/>
      <c r="AN91" s="45"/>
      <c r="AO91" s="45"/>
      <c r="AP91" s="45"/>
      <c r="AR91" s="45"/>
      <c r="AS91" s="45"/>
      <c r="AT91" s="45"/>
      <c r="AU91" s="45"/>
      <c r="AV91" s="45"/>
      <c r="AW91" s="45"/>
      <c r="AX91" s="45"/>
      <c r="AY91" s="45"/>
      <c r="AZ91" s="45" t="s">
        <v>336</v>
      </c>
      <c r="BA91" s="45"/>
      <c r="BB91" s="45"/>
      <c r="BC91" s="45"/>
      <c r="BD91" s="45" t="s">
        <v>0</v>
      </c>
      <c r="BE91" s="949">
        <f>R91</f>
        <v>2.2144188509463216</v>
      </c>
      <c r="BF91" s="949"/>
      <c r="BG91" s="949"/>
      <c r="BH91" s="949"/>
      <c r="BI91" s="949"/>
      <c r="BJ91" s="949"/>
      <c r="BK91" s="949"/>
      <c r="BL91" s="270" t="s">
        <v>310</v>
      </c>
      <c r="BM91" s="45"/>
      <c r="BN91" s="45"/>
      <c r="BO91" s="45"/>
      <c r="BP91" s="45"/>
      <c r="BQ91" s="45"/>
      <c r="BR91" s="45"/>
      <c r="BS91" s="45"/>
      <c r="BT91" s="45"/>
      <c r="BU91" s="45"/>
      <c r="BV91" s="45"/>
      <c r="BW91" s="45"/>
      <c r="CA91" s="45"/>
      <c r="CB91" s="45"/>
      <c r="CC91" s="45"/>
      <c r="CE91" s="45"/>
      <c r="CF91" s="45"/>
      <c r="CG91" s="45"/>
      <c r="CH91" s="45"/>
      <c r="CI91" s="45"/>
      <c r="CJ91" s="45"/>
      <c r="CK91" s="45"/>
      <c r="CL91" s="45"/>
      <c r="CM91" s="45" t="s">
        <v>336</v>
      </c>
      <c r="CN91" s="45"/>
      <c r="CO91" s="45"/>
      <c r="CP91" s="45"/>
      <c r="CQ91" s="45" t="s">
        <v>0</v>
      </c>
      <c r="CR91" s="949">
        <f>BE91</f>
        <v>2.2144188509463216</v>
      </c>
      <c r="CS91" s="949"/>
      <c r="CT91" s="949"/>
      <c r="CU91" s="949"/>
      <c r="CV91" s="949"/>
      <c r="CW91" s="949"/>
      <c r="CX91" s="949"/>
      <c r="CY91" s="270" t="s">
        <v>310</v>
      </c>
      <c r="CZ91" s="45"/>
      <c r="DA91" s="45"/>
      <c r="DB91" s="45"/>
      <c r="DC91" s="45"/>
      <c r="DD91" s="45"/>
      <c r="DE91" s="45"/>
      <c r="DF91" s="45"/>
      <c r="DG91" s="45"/>
      <c r="DH91" s="45"/>
      <c r="DI91" s="45"/>
      <c r="DJ91" s="45"/>
      <c r="DN91" s="45"/>
      <c r="DO91" s="45"/>
      <c r="DP91" s="45"/>
      <c r="DR91" s="45"/>
      <c r="DS91" s="45"/>
      <c r="DT91" s="45"/>
      <c r="DU91" s="45"/>
      <c r="DV91" s="45"/>
      <c r="DW91" s="45"/>
      <c r="DX91" s="45"/>
      <c r="DY91" s="45"/>
      <c r="DZ91" s="45" t="s">
        <v>336</v>
      </c>
      <c r="EA91" s="45"/>
      <c r="EB91" s="45"/>
      <c r="EC91" s="45"/>
      <c r="ED91" s="45" t="s">
        <v>0</v>
      </c>
      <c r="EE91" s="949">
        <f>CR91</f>
        <v>2.2144188509463216</v>
      </c>
      <c r="EF91" s="949"/>
      <c r="EG91" s="949"/>
      <c r="EH91" s="949"/>
      <c r="EI91" s="949"/>
      <c r="EJ91" s="949"/>
      <c r="EK91" s="949"/>
      <c r="EL91" s="270" t="s">
        <v>310</v>
      </c>
      <c r="EM91" s="45"/>
      <c r="EN91" s="45"/>
      <c r="EO91" s="45"/>
      <c r="EP91" s="45"/>
      <c r="EQ91" s="45"/>
      <c r="ER91" s="45"/>
      <c r="ES91" s="45"/>
      <c r="ET91" s="45"/>
      <c r="EU91" s="45"/>
      <c r="EV91" s="45"/>
      <c r="EW91" s="45"/>
    </row>
    <row r="92" spans="1:153" x14ac:dyDescent="0.35">
      <c r="A92" s="45"/>
      <c r="B92" s="45"/>
      <c r="C92" s="45"/>
      <c r="E92" s="45"/>
      <c r="F92" s="45"/>
      <c r="G92" s="45"/>
      <c r="H92" s="45"/>
      <c r="I92" s="45"/>
      <c r="J92" s="45"/>
      <c r="K92" s="45"/>
      <c r="L92" s="45"/>
      <c r="M92" s="45"/>
      <c r="N92" s="45"/>
      <c r="O92" s="45"/>
      <c r="P92" s="45"/>
      <c r="Q92" s="45"/>
      <c r="R92" s="510"/>
      <c r="S92" s="510"/>
      <c r="T92" s="510"/>
      <c r="U92" s="510"/>
      <c r="V92" s="510"/>
      <c r="W92" s="510"/>
      <c r="X92" s="510"/>
      <c r="Y92" s="270"/>
      <c r="Z92" s="45"/>
      <c r="AA92" s="45"/>
      <c r="AB92" s="45"/>
      <c r="AC92" s="45"/>
      <c r="AD92" s="45"/>
      <c r="AE92" s="45"/>
      <c r="AF92" s="45"/>
      <c r="AG92" s="45"/>
      <c r="AH92" s="45"/>
      <c r="AI92" s="45"/>
      <c r="AJ92" s="45"/>
      <c r="AN92" s="45"/>
      <c r="AO92" s="45"/>
      <c r="AP92" s="45"/>
      <c r="AR92" s="45"/>
      <c r="AS92" s="45"/>
      <c r="AT92" s="45"/>
      <c r="AU92" s="45"/>
      <c r="AV92" s="45"/>
      <c r="AW92" s="45"/>
      <c r="AX92" s="45"/>
      <c r="AY92" s="45"/>
      <c r="AZ92" s="45"/>
      <c r="BA92" s="45"/>
      <c r="BB92" s="45"/>
      <c r="BC92" s="45"/>
      <c r="BD92" s="45"/>
      <c r="BE92" s="510"/>
      <c r="BF92" s="510"/>
      <c r="BG92" s="510"/>
      <c r="BH92" s="510"/>
      <c r="BI92" s="510"/>
      <c r="BJ92" s="510"/>
      <c r="BK92" s="510"/>
      <c r="BL92" s="270"/>
      <c r="BM92" s="45"/>
      <c r="BN92" s="45"/>
      <c r="BO92" s="45"/>
      <c r="BP92" s="45"/>
      <c r="BQ92" s="45"/>
      <c r="BR92" s="45"/>
      <c r="BS92" s="45"/>
      <c r="BT92" s="45"/>
      <c r="BU92" s="45"/>
      <c r="BV92" s="45"/>
      <c r="BW92" s="45"/>
      <c r="CA92" s="45"/>
      <c r="CB92" s="45"/>
      <c r="CC92" s="45"/>
      <c r="CE92" s="45"/>
      <c r="CF92" s="45"/>
      <c r="CG92" s="45"/>
      <c r="CH92" s="45"/>
      <c r="CI92" s="45"/>
      <c r="CJ92" s="45"/>
      <c r="CK92" s="45"/>
      <c r="CL92" s="45"/>
      <c r="CM92" s="45"/>
      <c r="CN92" s="45"/>
      <c r="CO92" s="45"/>
      <c r="CP92" s="45"/>
      <c r="CQ92" s="45"/>
      <c r="CR92" s="510"/>
      <c r="CS92" s="510"/>
      <c r="CT92" s="510"/>
      <c r="CU92" s="510"/>
      <c r="CV92" s="510"/>
      <c r="CW92" s="510"/>
      <c r="CX92" s="510"/>
      <c r="CY92" s="270"/>
      <c r="CZ92" s="45"/>
      <c r="DA92" s="45"/>
      <c r="DB92" s="45"/>
      <c r="DC92" s="45"/>
      <c r="DD92" s="45"/>
      <c r="DE92" s="45"/>
      <c r="DF92" s="45"/>
      <c r="DG92" s="45"/>
      <c r="DH92" s="45"/>
      <c r="DI92" s="45"/>
      <c r="DJ92" s="45"/>
      <c r="DN92" s="45"/>
      <c r="DO92" s="45"/>
      <c r="DP92" s="45"/>
      <c r="DR92" s="45"/>
      <c r="DS92" s="45"/>
      <c r="DT92" s="45"/>
      <c r="DU92" s="45"/>
      <c r="DV92" s="45"/>
      <c r="DW92" s="45"/>
      <c r="DX92" s="45"/>
      <c r="DY92" s="45"/>
      <c r="DZ92" s="45"/>
      <c r="EA92" s="45"/>
      <c r="EB92" s="45"/>
      <c r="EC92" s="45"/>
      <c r="ED92" s="45"/>
      <c r="EE92" s="510"/>
      <c r="EF92" s="510"/>
      <c r="EG92" s="510"/>
      <c r="EH92" s="510"/>
      <c r="EI92" s="510"/>
      <c r="EJ92" s="510"/>
      <c r="EK92" s="510"/>
      <c r="EL92" s="270"/>
      <c r="EM92" s="45"/>
      <c r="EN92" s="45"/>
      <c r="EO92" s="45"/>
      <c r="EP92" s="45"/>
      <c r="EQ92" s="45"/>
      <c r="ER92" s="45"/>
      <c r="ES92" s="45"/>
      <c r="ET92" s="45"/>
      <c r="EU92" s="45"/>
      <c r="EV92" s="45"/>
      <c r="EW92" s="45"/>
    </row>
    <row r="93" spans="1:153" x14ac:dyDescent="0.35">
      <c r="A93" s="45"/>
      <c r="B93" s="45"/>
      <c r="C93" s="45"/>
      <c r="E93" s="45"/>
      <c r="F93" s="45"/>
      <c r="G93" s="45"/>
      <c r="H93" s="45"/>
      <c r="I93" s="45"/>
      <c r="J93" s="45"/>
      <c r="K93" s="45"/>
      <c r="L93" s="45"/>
      <c r="M93" s="45"/>
      <c r="N93" s="45"/>
      <c r="O93" s="45"/>
      <c r="P93" s="45"/>
      <c r="Q93" s="45"/>
      <c r="R93" s="510"/>
      <c r="S93" s="510"/>
      <c r="T93" s="510"/>
      <c r="U93" s="510"/>
      <c r="V93" s="510"/>
      <c r="W93" s="510"/>
      <c r="X93" s="510"/>
      <c r="Y93" s="270"/>
      <c r="Z93" s="45"/>
      <c r="AA93" s="45"/>
      <c r="AB93" s="45"/>
      <c r="AC93" s="45"/>
      <c r="AD93" s="45"/>
      <c r="AE93" s="45"/>
      <c r="AF93" s="45"/>
      <c r="AG93" s="45"/>
      <c r="AH93" s="45"/>
      <c r="AI93" s="45"/>
      <c r="AJ93" s="45"/>
      <c r="AN93" s="45"/>
      <c r="AO93" s="45"/>
      <c r="AP93" s="45"/>
      <c r="AR93" s="45"/>
      <c r="AS93" s="45"/>
      <c r="AT93" s="45"/>
      <c r="AU93" s="45"/>
      <c r="AV93" s="45"/>
      <c r="AW93" s="45"/>
      <c r="AX93" s="45"/>
      <c r="AY93" s="45"/>
      <c r="AZ93" s="45"/>
      <c r="BA93" s="45"/>
      <c r="BB93" s="45"/>
      <c r="BC93" s="45"/>
      <c r="BD93" s="45"/>
      <c r="BE93" s="510"/>
      <c r="BF93" s="510"/>
      <c r="BG93" s="510"/>
      <c r="BH93" s="510"/>
      <c r="BI93" s="510"/>
      <c r="BJ93" s="510"/>
      <c r="BK93" s="510"/>
      <c r="BL93" s="270"/>
      <c r="BM93" s="45"/>
      <c r="BN93" s="45"/>
      <c r="BO93" s="45"/>
      <c r="BP93" s="45"/>
      <c r="BQ93" s="45"/>
      <c r="BR93" s="45"/>
      <c r="BS93" s="45"/>
      <c r="BT93" s="45"/>
      <c r="BU93" s="45"/>
      <c r="BV93" s="45"/>
      <c r="BW93" s="45"/>
      <c r="CA93" s="45"/>
      <c r="CB93" s="45"/>
      <c r="CC93" s="45"/>
      <c r="CE93" s="45"/>
      <c r="CF93" s="45"/>
      <c r="CG93" s="45"/>
      <c r="CH93" s="45"/>
      <c r="CI93" s="45"/>
      <c r="CJ93" s="45"/>
      <c r="CK93" s="45"/>
      <c r="CL93" s="45"/>
      <c r="CM93" s="45"/>
      <c r="CN93" s="45"/>
      <c r="CO93" s="45"/>
      <c r="CP93" s="45"/>
      <c r="CQ93" s="45"/>
      <c r="CR93" s="510"/>
      <c r="CS93" s="510"/>
      <c r="CT93" s="510"/>
      <c r="CU93" s="510"/>
      <c r="CV93" s="510"/>
      <c r="CW93" s="510"/>
      <c r="CX93" s="510"/>
      <c r="CY93" s="270"/>
      <c r="CZ93" s="45"/>
      <c r="DA93" s="45"/>
      <c r="DB93" s="45"/>
      <c r="DC93" s="45"/>
      <c r="DD93" s="45"/>
      <c r="DE93" s="45"/>
      <c r="DF93" s="45"/>
      <c r="DG93" s="45"/>
      <c r="DH93" s="45"/>
      <c r="DI93" s="45"/>
      <c r="DJ93" s="45"/>
      <c r="DN93" s="45"/>
      <c r="DO93" s="45"/>
      <c r="DP93" s="45"/>
      <c r="DR93" s="45"/>
      <c r="DS93" s="45"/>
      <c r="DT93" s="45"/>
      <c r="DU93" s="45"/>
      <c r="DV93" s="45"/>
      <c r="DW93" s="45"/>
      <c r="DX93" s="45"/>
      <c r="DY93" s="45"/>
      <c r="DZ93" s="45"/>
      <c r="EA93" s="45"/>
      <c r="EB93" s="45"/>
      <c r="EC93" s="45"/>
      <c r="ED93" s="45"/>
      <c r="EE93" s="510"/>
      <c r="EF93" s="510"/>
      <c r="EG93" s="510"/>
      <c r="EH93" s="510"/>
      <c r="EI93" s="510"/>
      <c r="EJ93" s="510"/>
      <c r="EK93" s="510"/>
      <c r="EL93" s="270"/>
      <c r="EM93" s="45"/>
      <c r="EN93" s="45"/>
      <c r="EO93" s="45"/>
      <c r="EP93" s="45"/>
      <c r="EQ93" s="45"/>
      <c r="ER93" s="45"/>
      <c r="ES93" s="45"/>
      <c r="ET93" s="45"/>
      <c r="EU93" s="45"/>
      <c r="EV93" s="45"/>
      <c r="EW93" s="45"/>
    </row>
    <row r="94" spans="1:153" x14ac:dyDescent="0.35">
      <c r="A94" s="45"/>
      <c r="B94" s="45"/>
      <c r="C94" s="109" t="s">
        <v>306</v>
      </c>
      <c r="E94" s="45"/>
      <c r="F94" s="45"/>
      <c r="G94" s="45"/>
      <c r="H94" s="45"/>
      <c r="I94" s="45"/>
      <c r="J94" s="45"/>
      <c r="K94" s="115"/>
      <c r="L94" s="45"/>
      <c r="M94" s="268"/>
      <c r="N94" s="268"/>
      <c r="O94" s="268"/>
      <c r="P94" s="115" t="s">
        <v>307</v>
      </c>
      <c r="Q94" s="268" t="s">
        <v>0</v>
      </c>
      <c r="R94" s="950">
        <f>R64</f>
        <v>200000</v>
      </c>
      <c r="S94" s="950"/>
      <c r="T94" s="950"/>
      <c r="U94" s="950"/>
      <c r="V94" s="950"/>
      <c r="W94" s="45"/>
      <c r="X94" s="45"/>
      <c r="Y94" s="45"/>
      <c r="Z94" s="45"/>
      <c r="AA94" s="45"/>
      <c r="AB94" s="45"/>
      <c r="AC94" s="45"/>
      <c r="AD94" s="45"/>
      <c r="AE94" s="45"/>
      <c r="AF94" s="45"/>
      <c r="AG94" s="45"/>
      <c r="AH94" s="45"/>
      <c r="AI94" s="45"/>
      <c r="AJ94" s="45"/>
      <c r="AN94" s="45"/>
      <c r="AO94" s="45"/>
      <c r="AP94" s="109" t="s">
        <v>306</v>
      </c>
      <c r="AR94" s="45"/>
      <c r="AS94" s="45"/>
      <c r="AT94" s="45"/>
      <c r="AU94" s="45"/>
      <c r="AV94" s="45"/>
      <c r="AW94" s="45"/>
      <c r="AX94" s="115"/>
      <c r="AY94" s="45"/>
      <c r="AZ94" s="268"/>
      <c r="BA94" s="268"/>
      <c r="BB94" s="268"/>
      <c r="BC94" s="115" t="s">
        <v>307</v>
      </c>
      <c r="BD94" s="268" t="s">
        <v>0</v>
      </c>
      <c r="BE94" s="950">
        <f>BE64</f>
        <v>200000</v>
      </c>
      <c r="BF94" s="950"/>
      <c r="BG94" s="950"/>
      <c r="BH94" s="950"/>
      <c r="BI94" s="950"/>
      <c r="BJ94" s="45"/>
      <c r="BK94" s="45"/>
      <c r="BL94" s="45"/>
      <c r="BM94" s="45"/>
      <c r="BN94" s="45"/>
      <c r="BO94" s="45"/>
      <c r="BP94" s="45"/>
      <c r="BQ94" s="45"/>
      <c r="BR94" s="45"/>
      <c r="BS94" s="45"/>
      <c r="BT94" s="45"/>
      <c r="BU94" s="45"/>
      <c r="BV94" s="45"/>
      <c r="BW94" s="45"/>
      <c r="CA94" s="45"/>
      <c r="CB94" s="45"/>
      <c r="CC94" s="109" t="s">
        <v>306</v>
      </c>
      <c r="CE94" s="45"/>
      <c r="CF94" s="45"/>
      <c r="CG94" s="45"/>
      <c r="CH94" s="45"/>
      <c r="CI94" s="45"/>
      <c r="CJ94" s="45"/>
      <c r="CK94" s="315"/>
      <c r="CL94" s="45"/>
      <c r="CM94" s="268"/>
      <c r="CN94" s="268"/>
      <c r="CO94" s="268"/>
      <c r="CP94" s="315" t="s">
        <v>307</v>
      </c>
      <c r="CQ94" s="268" t="s">
        <v>0</v>
      </c>
      <c r="CR94" s="950">
        <f>CR64</f>
        <v>200000</v>
      </c>
      <c r="CS94" s="950"/>
      <c r="CT94" s="950"/>
      <c r="CU94" s="950"/>
      <c r="CV94" s="950"/>
      <c r="CW94" s="45"/>
      <c r="CX94" s="45"/>
      <c r="CY94" s="45"/>
      <c r="CZ94" s="45"/>
      <c r="DA94" s="45"/>
      <c r="DB94" s="45"/>
      <c r="DC94" s="45"/>
      <c r="DD94" s="45"/>
      <c r="DE94" s="45"/>
      <c r="DF94" s="45"/>
      <c r="DG94" s="45"/>
      <c r="DH94" s="45"/>
      <c r="DI94" s="45"/>
      <c r="DJ94" s="45"/>
      <c r="DN94" s="45"/>
      <c r="DO94" s="45"/>
      <c r="DP94" s="109" t="s">
        <v>306</v>
      </c>
      <c r="DR94" s="45"/>
      <c r="DS94" s="45"/>
      <c r="DT94" s="45"/>
      <c r="DU94" s="45"/>
      <c r="DV94" s="45"/>
      <c r="DW94" s="45"/>
      <c r="DX94" s="470"/>
      <c r="DY94" s="45"/>
      <c r="DZ94" s="268"/>
      <c r="EA94" s="268"/>
      <c r="EB94" s="268"/>
      <c r="EC94" s="470" t="s">
        <v>307</v>
      </c>
      <c r="ED94" s="268" t="s">
        <v>0</v>
      </c>
      <c r="EE94" s="950">
        <f>EE64</f>
        <v>200000</v>
      </c>
      <c r="EF94" s="950"/>
      <c r="EG94" s="950"/>
      <c r="EH94" s="950"/>
      <c r="EI94" s="950"/>
      <c r="EJ94" s="45"/>
      <c r="EK94" s="45"/>
      <c r="EL94" s="45"/>
      <c r="EM94" s="45"/>
      <c r="EN94" s="45"/>
      <c r="EO94" s="45"/>
      <c r="EP94" s="45"/>
      <c r="EQ94" s="45"/>
      <c r="ER94" s="45"/>
      <c r="ES94" s="45"/>
      <c r="ET94" s="45"/>
      <c r="EU94" s="45"/>
      <c r="EV94" s="45"/>
      <c r="EW94" s="45"/>
    </row>
    <row r="95" spans="1:153" ht="17.5" x14ac:dyDescent="0.45">
      <c r="A95" s="45"/>
      <c r="B95" s="45"/>
      <c r="C95" s="271" t="s">
        <v>323</v>
      </c>
      <c r="E95" s="271"/>
      <c r="F95" s="271"/>
      <c r="G95" s="271"/>
      <c r="H95" s="271"/>
      <c r="I95" s="271"/>
      <c r="J95" s="45"/>
      <c r="K95" s="271"/>
      <c r="L95" s="45"/>
      <c r="M95" s="45"/>
      <c r="N95" s="45"/>
      <c r="O95" s="268"/>
      <c r="P95" s="115" t="s">
        <v>324</v>
      </c>
      <c r="Q95" s="268" t="s">
        <v>0</v>
      </c>
      <c r="R95" s="951">
        <f>R78</f>
        <v>5.5850536063818549E-3</v>
      </c>
      <c r="S95" s="951"/>
      <c r="T95" s="951"/>
      <c r="U95" s="951"/>
      <c r="V95" s="45"/>
      <c r="W95" s="45"/>
      <c r="X95" s="45"/>
      <c r="Y95" s="45"/>
      <c r="Z95" s="45"/>
      <c r="AA95" s="45"/>
      <c r="AB95" s="45"/>
      <c r="AC95" s="45"/>
      <c r="AD95" s="45"/>
      <c r="AE95" s="45"/>
      <c r="AF95" s="45"/>
      <c r="AG95" s="45"/>
      <c r="AH95" s="45"/>
      <c r="AI95" s="45"/>
      <c r="AJ95" s="45"/>
      <c r="AN95" s="45"/>
      <c r="AO95" s="45"/>
      <c r="AP95" s="271" t="s">
        <v>323</v>
      </c>
      <c r="AR95" s="271"/>
      <c r="AS95" s="271"/>
      <c r="AT95" s="271"/>
      <c r="AU95" s="271"/>
      <c r="AV95" s="271"/>
      <c r="AW95" s="45"/>
      <c r="AX95" s="271"/>
      <c r="AY95" s="45"/>
      <c r="AZ95" s="45"/>
      <c r="BA95" s="45"/>
      <c r="BB95" s="268"/>
      <c r="BC95" s="115" t="s">
        <v>324</v>
      </c>
      <c r="BD95" s="268" t="s">
        <v>0</v>
      </c>
      <c r="BE95" s="951">
        <f>BE78</f>
        <v>3.9269908169872417E-3</v>
      </c>
      <c r="BF95" s="951"/>
      <c r="BG95" s="951"/>
      <c r="BH95" s="951"/>
      <c r="BI95" s="45"/>
      <c r="BJ95" s="45"/>
      <c r="BK95" s="45"/>
      <c r="BL95" s="45"/>
      <c r="BM95" s="45"/>
      <c r="BN95" s="45"/>
      <c r="BO95" s="45"/>
      <c r="BP95" s="45"/>
      <c r="BQ95" s="45"/>
      <c r="BR95" s="45"/>
      <c r="BS95" s="45"/>
      <c r="BT95" s="45"/>
      <c r="BU95" s="45"/>
      <c r="BV95" s="45"/>
      <c r="BW95" s="45"/>
      <c r="CA95" s="45"/>
      <c r="CB95" s="45"/>
      <c r="CC95" s="271" t="s">
        <v>323</v>
      </c>
      <c r="CE95" s="271"/>
      <c r="CF95" s="271"/>
      <c r="CG95" s="271"/>
      <c r="CH95" s="271"/>
      <c r="CI95" s="271"/>
      <c r="CJ95" s="45"/>
      <c r="CK95" s="271"/>
      <c r="CL95" s="45"/>
      <c r="CM95" s="45"/>
      <c r="CN95" s="45"/>
      <c r="CO95" s="268"/>
      <c r="CP95" s="315" t="s">
        <v>324</v>
      </c>
      <c r="CQ95" s="268" t="s">
        <v>0</v>
      </c>
      <c r="CR95" s="951">
        <f>CR78</f>
        <v>3.9269908169872417E-3</v>
      </c>
      <c r="CS95" s="951"/>
      <c r="CT95" s="951"/>
      <c r="CU95" s="951"/>
      <c r="CV95" s="45"/>
      <c r="CW95" s="45"/>
      <c r="CX95" s="45"/>
      <c r="CY95" s="45"/>
      <c r="CZ95" s="45"/>
      <c r="DA95" s="45"/>
      <c r="DB95" s="45"/>
      <c r="DC95" s="45"/>
      <c r="DD95" s="45"/>
      <c r="DE95" s="45"/>
      <c r="DF95" s="45"/>
      <c r="DG95" s="45"/>
      <c r="DH95" s="45"/>
      <c r="DI95" s="45"/>
      <c r="DJ95" s="45"/>
      <c r="DN95" s="45"/>
      <c r="DO95" s="45"/>
      <c r="DP95" s="271" t="s">
        <v>323</v>
      </c>
      <c r="DR95" s="271"/>
      <c r="DS95" s="271"/>
      <c r="DT95" s="271"/>
      <c r="DU95" s="271"/>
      <c r="DV95" s="271"/>
      <c r="DW95" s="45"/>
      <c r="DX95" s="271"/>
      <c r="DY95" s="45"/>
      <c r="DZ95" s="45"/>
      <c r="EA95" s="45"/>
      <c r="EB95" s="268"/>
      <c r="EC95" s="470" t="s">
        <v>324</v>
      </c>
      <c r="ED95" s="268" t="s">
        <v>0</v>
      </c>
      <c r="EE95" s="951">
        <f>EE78</f>
        <v>5.5850536063818549E-3</v>
      </c>
      <c r="EF95" s="951"/>
      <c r="EG95" s="951"/>
      <c r="EH95" s="951"/>
      <c r="EI95" s="45"/>
      <c r="EJ95" s="45"/>
      <c r="EK95" s="45"/>
      <c r="EL95" s="45"/>
      <c r="EM95" s="45"/>
      <c r="EN95" s="45"/>
      <c r="EO95" s="45"/>
      <c r="EP95" s="45"/>
      <c r="EQ95" s="45"/>
      <c r="ER95" s="45"/>
      <c r="ES95" s="45"/>
      <c r="ET95" s="45"/>
      <c r="EU95" s="45"/>
      <c r="EV95" s="45"/>
      <c r="EW95" s="45"/>
    </row>
    <row r="96" spans="1:153" x14ac:dyDescent="0.35">
      <c r="A96" s="45"/>
      <c r="B96" s="45"/>
      <c r="C96" s="45"/>
      <c r="D96" s="66"/>
      <c r="E96" s="66"/>
      <c r="F96" s="66"/>
      <c r="G96" s="66"/>
      <c r="H96" s="66"/>
      <c r="I96" s="66"/>
      <c r="J96" s="66"/>
      <c r="K96" s="66"/>
      <c r="L96" s="66"/>
      <c r="M96" s="66"/>
      <c r="N96" s="66"/>
      <c r="O96" s="66"/>
      <c r="P96" s="66"/>
      <c r="Q96" s="66"/>
      <c r="R96" s="66"/>
      <c r="S96" s="66"/>
      <c r="T96" s="66"/>
      <c r="U96" s="66"/>
      <c r="V96" s="66"/>
      <c r="W96" s="66"/>
      <c r="X96" s="66"/>
      <c r="Y96" s="66"/>
      <c r="Z96" s="66"/>
      <c r="AA96" s="66"/>
      <c r="AB96" s="66"/>
      <c r="AC96" s="66"/>
      <c r="AD96" s="66"/>
      <c r="AE96" s="66"/>
      <c r="AF96" s="66"/>
      <c r="AG96" s="66"/>
      <c r="AH96" s="66"/>
      <c r="AI96" s="66"/>
      <c r="AJ96" s="45"/>
      <c r="AN96" s="45"/>
      <c r="AO96" s="45"/>
      <c r="AP96" s="45"/>
      <c r="AQ96" s="66"/>
      <c r="AR96" s="66"/>
      <c r="AS96" s="66"/>
      <c r="AT96" s="66"/>
      <c r="AU96" s="66"/>
      <c r="AV96" s="66"/>
      <c r="AW96" s="66"/>
      <c r="AX96" s="66"/>
      <c r="AY96" s="66"/>
      <c r="AZ96" s="66"/>
      <c r="BA96" s="66"/>
      <c r="BB96" s="66"/>
      <c r="BC96" s="66"/>
      <c r="BD96" s="66"/>
      <c r="BE96" s="66"/>
      <c r="BF96" s="66"/>
      <c r="BG96" s="66"/>
      <c r="BH96" s="66"/>
      <c r="BI96" s="66"/>
      <c r="BJ96" s="66"/>
      <c r="BK96" s="66"/>
      <c r="BL96" s="66"/>
      <c r="BM96" s="66"/>
      <c r="BN96" s="66"/>
      <c r="BO96" s="66"/>
      <c r="BP96" s="66"/>
      <c r="BQ96" s="66"/>
      <c r="BR96" s="66"/>
      <c r="BS96" s="66"/>
      <c r="BT96" s="66"/>
      <c r="BU96" s="66"/>
      <c r="BV96" s="66"/>
      <c r="BW96" s="45"/>
      <c r="CA96" s="45"/>
      <c r="CB96" s="45"/>
      <c r="CC96" s="45"/>
      <c r="CD96" s="307"/>
      <c r="CE96" s="307"/>
      <c r="CF96" s="307"/>
      <c r="CG96" s="307"/>
      <c r="CH96" s="307"/>
      <c r="CI96" s="307"/>
      <c r="CJ96" s="307"/>
      <c r="CK96" s="307"/>
      <c r="CL96" s="307"/>
      <c r="CM96" s="307"/>
      <c r="CN96" s="307"/>
      <c r="CO96" s="307"/>
      <c r="CP96" s="307"/>
      <c r="CQ96" s="307"/>
      <c r="CR96" s="307"/>
      <c r="CS96" s="307"/>
      <c r="CT96" s="307"/>
      <c r="CU96" s="307"/>
      <c r="CV96" s="307"/>
      <c r="CW96" s="307"/>
      <c r="CX96" s="307"/>
      <c r="CY96" s="307"/>
      <c r="CZ96" s="307"/>
      <c r="DA96" s="307"/>
      <c r="DB96" s="307"/>
      <c r="DC96" s="307"/>
      <c r="DD96" s="307"/>
      <c r="DE96" s="307"/>
      <c r="DF96" s="307"/>
      <c r="DG96" s="307"/>
      <c r="DH96" s="307"/>
      <c r="DI96" s="307"/>
      <c r="DJ96" s="45"/>
      <c r="DN96" s="45"/>
      <c r="DO96" s="45"/>
      <c r="DP96" s="45"/>
      <c r="DQ96" s="389"/>
      <c r="DR96" s="389"/>
      <c r="DS96" s="389"/>
      <c r="DT96" s="389"/>
      <c r="DU96" s="389"/>
      <c r="DV96" s="389"/>
      <c r="DW96" s="389"/>
      <c r="DX96" s="389"/>
      <c r="DY96" s="389"/>
      <c r="DZ96" s="389"/>
      <c r="EA96" s="389"/>
      <c r="EB96" s="389"/>
      <c r="EC96" s="389"/>
      <c r="ED96" s="389"/>
      <c r="EE96" s="389"/>
      <c r="EF96" s="389"/>
      <c r="EG96" s="389"/>
      <c r="EH96" s="389"/>
      <c r="EI96" s="389"/>
      <c r="EJ96" s="389"/>
      <c r="EK96" s="389"/>
      <c r="EL96" s="389"/>
      <c r="EM96" s="389"/>
      <c r="EN96" s="389"/>
      <c r="EO96" s="389"/>
      <c r="EP96" s="389"/>
      <c r="EQ96" s="389"/>
      <c r="ER96" s="389"/>
      <c r="ES96" s="389"/>
      <c r="ET96" s="389"/>
      <c r="EU96" s="389"/>
      <c r="EV96" s="389"/>
      <c r="EW96" s="45"/>
    </row>
    <row r="97" spans="1:153" x14ac:dyDescent="0.35">
      <c r="A97" s="45"/>
      <c r="B97" s="45"/>
      <c r="C97" s="45"/>
      <c r="D97" s="66"/>
      <c r="E97" s="66"/>
      <c r="F97" s="66"/>
      <c r="G97" s="66"/>
      <c r="H97" s="66"/>
      <c r="I97" s="66"/>
      <c r="J97" s="66"/>
      <c r="K97" s="66"/>
      <c r="L97" s="66"/>
      <c r="M97" s="66"/>
      <c r="N97" s="66"/>
      <c r="O97" s="66"/>
      <c r="P97" s="66"/>
      <c r="Q97" s="66"/>
      <c r="R97" s="66"/>
      <c r="S97" s="66"/>
      <c r="T97" s="66"/>
      <c r="U97" s="66"/>
      <c r="V97" s="66"/>
      <c r="W97" s="66"/>
      <c r="X97" s="66"/>
      <c r="Y97" s="66"/>
      <c r="Z97" s="66"/>
      <c r="AA97" s="66"/>
      <c r="AB97" s="66"/>
      <c r="AC97" s="66"/>
      <c r="AD97" s="66"/>
      <c r="AE97" s="66"/>
      <c r="AF97" s="66"/>
      <c r="AG97" s="66"/>
      <c r="AH97" s="66"/>
      <c r="AI97" s="66"/>
      <c r="AJ97" s="45"/>
      <c r="AN97" s="45"/>
      <c r="AO97" s="45"/>
      <c r="AP97" s="45"/>
      <c r="AQ97" s="66"/>
      <c r="AR97" s="66"/>
      <c r="AS97" s="66"/>
      <c r="AT97" s="66"/>
      <c r="AU97" s="66"/>
      <c r="AV97" s="66"/>
      <c r="AW97" s="66"/>
      <c r="AX97" s="66"/>
      <c r="AY97" s="66"/>
      <c r="AZ97" s="66"/>
      <c r="BA97" s="66"/>
      <c r="BB97" s="66"/>
      <c r="BC97" s="66"/>
      <c r="BD97" s="66"/>
      <c r="BE97" s="66"/>
      <c r="BF97" s="66"/>
      <c r="BG97" s="66"/>
      <c r="BH97" s="66"/>
      <c r="BI97" s="66"/>
      <c r="BJ97" s="66"/>
      <c r="BK97" s="66"/>
      <c r="BL97" s="66"/>
      <c r="BM97" s="66"/>
      <c r="BN97" s="66"/>
      <c r="BO97" s="66"/>
      <c r="BP97" s="66"/>
      <c r="BQ97" s="66"/>
      <c r="BR97" s="66"/>
      <c r="BS97" s="66"/>
      <c r="BT97" s="66"/>
      <c r="BU97" s="66"/>
      <c r="BV97" s="66"/>
      <c r="BW97" s="45"/>
      <c r="CA97" s="45"/>
      <c r="CB97" s="45"/>
      <c r="CC97" s="45"/>
      <c r="CD97" s="307"/>
      <c r="CE97" s="307"/>
      <c r="CF97" s="307"/>
      <c r="CG97" s="307"/>
      <c r="CH97" s="307"/>
      <c r="CI97" s="307"/>
      <c r="CJ97" s="307"/>
      <c r="CK97" s="307"/>
      <c r="CL97" s="307"/>
      <c r="CM97" s="307"/>
      <c r="CN97" s="307"/>
      <c r="CO97" s="307"/>
      <c r="CP97" s="307"/>
      <c r="CQ97" s="307"/>
      <c r="CR97" s="307"/>
      <c r="CS97" s="307"/>
      <c r="CT97" s="307"/>
      <c r="CU97" s="307"/>
      <c r="CV97" s="307"/>
      <c r="CW97" s="307"/>
      <c r="CX97" s="307"/>
      <c r="CY97" s="307"/>
      <c r="CZ97" s="307"/>
      <c r="DA97" s="307"/>
      <c r="DB97" s="307"/>
      <c r="DC97" s="307"/>
      <c r="DD97" s="307"/>
      <c r="DE97" s="307"/>
      <c r="DF97" s="307"/>
      <c r="DG97" s="307"/>
      <c r="DH97" s="307"/>
      <c r="DI97" s="307"/>
      <c r="DJ97" s="45"/>
      <c r="DN97" s="45"/>
      <c r="DO97" s="45"/>
      <c r="DP97" s="45"/>
      <c r="DQ97" s="389"/>
      <c r="DR97" s="389"/>
      <c r="DS97" s="389"/>
      <c r="DT97" s="389"/>
      <c r="DU97" s="389"/>
      <c r="DV97" s="389"/>
      <c r="DW97" s="389"/>
      <c r="DX97" s="389"/>
      <c r="DY97" s="389"/>
      <c r="DZ97" s="389"/>
      <c r="EA97" s="389"/>
      <c r="EB97" s="389"/>
      <c r="EC97" s="389"/>
      <c r="ED97" s="389"/>
      <c r="EE97" s="389"/>
      <c r="EF97" s="389"/>
      <c r="EG97" s="389"/>
      <c r="EH97" s="389"/>
      <c r="EI97" s="389"/>
      <c r="EJ97" s="389"/>
      <c r="EK97" s="389"/>
      <c r="EL97" s="389"/>
      <c r="EM97" s="389"/>
      <c r="EN97" s="389"/>
      <c r="EO97" s="389"/>
      <c r="EP97" s="389"/>
      <c r="EQ97" s="389"/>
      <c r="ER97" s="389"/>
      <c r="ES97" s="389"/>
      <c r="ET97" s="389"/>
      <c r="EU97" s="389"/>
      <c r="EV97" s="389"/>
      <c r="EW97" s="45"/>
    </row>
    <row r="98" spans="1:153" x14ac:dyDescent="0.35">
      <c r="A98" s="45"/>
      <c r="B98" s="45"/>
      <c r="C98" s="45"/>
      <c r="D98" s="66"/>
      <c r="E98" s="66" t="s">
        <v>337</v>
      </c>
      <c r="F98" s="66"/>
      <c r="G98" s="66"/>
      <c r="H98" s="66"/>
      <c r="I98" s="66"/>
      <c r="J98" s="66"/>
      <c r="K98" s="66"/>
      <c r="L98" s="66"/>
      <c r="M98" s="66"/>
      <c r="N98" s="66"/>
      <c r="O98" s="66"/>
      <c r="P98" s="66"/>
      <c r="Q98" s="66"/>
      <c r="R98" s="66"/>
      <c r="S98" s="66"/>
      <c r="T98" s="66"/>
      <c r="U98" s="66"/>
      <c r="V98" s="66"/>
      <c r="W98" s="66"/>
      <c r="X98" s="66"/>
      <c r="Y98" s="66"/>
      <c r="Z98" s="66"/>
      <c r="AA98" s="66"/>
      <c r="AB98" s="66"/>
      <c r="AC98" s="66"/>
      <c r="AD98" s="66"/>
      <c r="AE98" s="66"/>
      <c r="AF98" s="66"/>
      <c r="AG98" s="66"/>
      <c r="AH98" s="66"/>
      <c r="AI98" s="66"/>
      <c r="AJ98" s="45"/>
      <c r="AN98" s="45"/>
      <c r="AO98" s="45"/>
      <c r="AP98" s="45"/>
      <c r="AQ98" s="66"/>
      <c r="AR98" s="66" t="s">
        <v>337</v>
      </c>
      <c r="AS98" s="66"/>
      <c r="AT98" s="66"/>
      <c r="AU98" s="66"/>
      <c r="AV98" s="66"/>
      <c r="AW98" s="66"/>
      <c r="AX98" s="66"/>
      <c r="AY98" s="66"/>
      <c r="AZ98" s="66"/>
      <c r="BA98" s="66"/>
      <c r="BB98" s="66"/>
      <c r="BC98" s="66"/>
      <c r="BD98" s="66"/>
      <c r="BE98" s="66"/>
      <c r="BF98" s="66"/>
      <c r="BG98" s="66"/>
      <c r="BH98" s="66"/>
      <c r="BI98" s="66"/>
      <c r="BJ98" s="66"/>
      <c r="BK98" s="66"/>
      <c r="BL98" s="66"/>
      <c r="BM98" s="66"/>
      <c r="BN98" s="66"/>
      <c r="BO98" s="66"/>
      <c r="BP98" s="66"/>
      <c r="BQ98" s="66"/>
      <c r="BR98" s="66"/>
      <c r="BS98" s="66"/>
      <c r="BT98" s="66"/>
      <c r="BU98" s="66"/>
      <c r="BV98" s="66"/>
      <c r="BW98" s="45"/>
      <c r="CA98" s="45"/>
      <c r="CB98" s="45"/>
      <c r="CC98" s="45"/>
      <c r="CD98" s="307"/>
      <c r="CE98" s="307" t="s">
        <v>337</v>
      </c>
      <c r="CF98" s="307"/>
      <c r="CG98" s="307"/>
      <c r="CH98" s="307"/>
      <c r="CI98" s="307"/>
      <c r="CJ98" s="307"/>
      <c r="CK98" s="307"/>
      <c r="CL98" s="307"/>
      <c r="CM98" s="307"/>
      <c r="CN98" s="307"/>
      <c r="CO98" s="307"/>
      <c r="CP98" s="307"/>
      <c r="CQ98" s="307"/>
      <c r="CR98" s="307"/>
      <c r="CS98" s="307"/>
      <c r="CT98" s="307"/>
      <c r="CU98" s="307"/>
      <c r="CV98" s="307"/>
      <c r="CW98" s="307"/>
      <c r="CX98" s="307"/>
      <c r="CY98" s="307"/>
      <c r="CZ98" s="307"/>
      <c r="DA98" s="307"/>
      <c r="DB98" s="307"/>
      <c r="DC98" s="307"/>
      <c r="DD98" s="307"/>
      <c r="DE98" s="307"/>
      <c r="DF98" s="307"/>
      <c r="DG98" s="307"/>
      <c r="DH98" s="307"/>
      <c r="DI98" s="307"/>
      <c r="DJ98" s="45"/>
      <c r="DN98" s="45"/>
      <c r="DO98" s="45"/>
      <c r="DP98" s="45"/>
      <c r="DQ98" s="389"/>
      <c r="DR98" s="389" t="s">
        <v>337</v>
      </c>
      <c r="DS98" s="389"/>
      <c r="DT98" s="389"/>
      <c r="DU98" s="389"/>
      <c r="DV98" s="389"/>
      <c r="DW98" s="389"/>
      <c r="DX98" s="389"/>
      <c r="DY98" s="389"/>
      <c r="DZ98" s="389"/>
      <c r="EA98" s="389"/>
      <c r="EB98" s="389"/>
      <c r="EC98" s="389"/>
      <c r="ED98" s="389"/>
      <c r="EE98" s="389"/>
      <c r="EF98" s="389"/>
      <c r="EG98" s="389"/>
      <c r="EH98" s="389"/>
      <c r="EI98" s="389"/>
      <c r="EJ98" s="389"/>
      <c r="EK98" s="389"/>
      <c r="EL98" s="389"/>
      <c r="EM98" s="389"/>
      <c r="EN98" s="389"/>
      <c r="EO98" s="389"/>
      <c r="EP98" s="389"/>
      <c r="EQ98" s="389"/>
      <c r="ER98" s="389"/>
      <c r="ES98" s="389"/>
      <c r="ET98" s="389"/>
      <c r="EU98" s="389"/>
      <c r="EV98" s="389"/>
      <c r="EW98" s="45"/>
    </row>
    <row r="99" spans="1:153" x14ac:dyDescent="0.35">
      <c r="A99" s="45"/>
      <c r="B99" s="45"/>
      <c r="C99" s="45"/>
      <c r="D99" s="66"/>
      <c r="E99" s="66"/>
      <c r="F99" s="66"/>
      <c r="G99" s="66"/>
      <c r="H99" s="66"/>
      <c r="I99" s="79"/>
      <c r="J99" s="66"/>
      <c r="K99" s="280"/>
      <c r="L99" s="280"/>
      <c r="M99" s="280"/>
      <c r="N99" s="280"/>
      <c r="O99" s="66"/>
      <c r="P99" s="66"/>
      <c r="Q99" s="66"/>
      <c r="R99" s="66"/>
      <c r="S99" s="66"/>
      <c r="T99" s="66"/>
      <c r="U99" s="66"/>
      <c r="V99" s="66"/>
      <c r="W99" s="66"/>
      <c r="X99" s="66"/>
      <c r="Y99" s="66"/>
      <c r="Z99" s="66"/>
      <c r="AA99" s="66"/>
      <c r="AB99" s="66"/>
      <c r="AC99" s="66"/>
      <c r="AD99" s="66"/>
      <c r="AE99" s="66"/>
      <c r="AF99" s="66"/>
      <c r="AG99" s="66"/>
      <c r="AH99" s="66"/>
      <c r="AI99" s="66"/>
      <c r="AJ99" s="45"/>
      <c r="AN99" s="45"/>
      <c r="AO99" s="45"/>
      <c r="AP99" s="45"/>
      <c r="AQ99" s="66"/>
      <c r="AR99" s="66"/>
      <c r="AS99" s="66"/>
      <c r="AT99" s="66"/>
      <c r="AU99" s="66"/>
      <c r="AV99" s="79"/>
      <c r="AW99" s="66"/>
      <c r="AX99" s="280"/>
      <c r="AY99" s="280"/>
      <c r="AZ99" s="280"/>
      <c r="BA99" s="280"/>
      <c r="BB99" s="66"/>
      <c r="BC99" s="66"/>
      <c r="BD99" s="66"/>
      <c r="BE99" s="66"/>
      <c r="BF99" s="66"/>
      <c r="BG99" s="66"/>
      <c r="BH99" s="66"/>
      <c r="BI99" s="66"/>
      <c r="BJ99" s="66"/>
      <c r="BK99" s="66"/>
      <c r="BL99" s="66"/>
      <c r="BM99" s="66"/>
      <c r="BN99" s="66"/>
      <c r="BO99" s="66"/>
      <c r="BP99" s="66"/>
      <c r="BQ99" s="66"/>
      <c r="BR99" s="66"/>
      <c r="BS99" s="66"/>
      <c r="BT99" s="66"/>
      <c r="BU99" s="66"/>
      <c r="BV99" s="66"/>
      <c r="BW99" s="45"/>
      <c r="CA99" s="45"/>
      <c r="CB99" s="45"/>
      <c r="CC99" s="45"/>
      <c r="CD99" s="307"/>
      <c r="CE99" s="307"/>
      <c r="CF99" s="307"/>
      <c r="CG99" s="307"/>
      <c r="CH99" s="307"/>
      <c r="CI99" s="297"/>
      <c r="CJ99" s="307"/>
      <c r="CK99" s="280"/>
      <c r="CL99" s="280"/>
      <c r="CM99" s="280"/>
      <c r="CN99" s="280"/>
      <c r="CO99" s="307"/>
      <c r="CP99" s="307"/>
      <c r="CQ99" s="307"/>
      <c r="CR99" s="307"/>
      <c r="CS99" s="307"/>
      <c r="CT99" s="307"/>
      <c r="CU99" s="307"/>
      <c r="CV99" s="307"/>
      <c r="CW99" s="307"/>
      <c r="CX99" s="307"/>
      <c r="CY99" s="307"/>
      <c r="CZ99" s="307"/>
      <c r="DA99" s="307"/>
      <c r="DB99" s="307"/>
      <c r="DC99" s="307"/>
      <c r="DD99" s="307"/>
      <c r="DE99" s="307"/>
      <c r="DF99" s="307"/>
      <c r="DG99" s="307"/>
      <c r="DH99" s="307"/>
      <c r="DI99" s="307"/>
      <c r="DJ99" s="45"/>
      <c r="DN99" s="45"/>
      <c r="DO99" s="45"/>
      <c r="DP99" s="45"/>
      <c r="DQ99" s="389"/>
      <c r="DR99" s="389"/>
      <c r="DS99" s="389"/>
      <c r="DT99" s="389"/>
      <c r="DU99" s="389"/>
      <c r="DV99" s="297"/>
      <c r="DW99" s="389"/>
      <c r="DX99" s="280"/>
      <c r="DY99" s="280"/>
      <c r="DZ99" s="280"/>
      <c r="EA99" s="280"/>
      <c r="EB99" s="389"/>
      <c r="EC99" s="389"/>
      <c r="ED99" s="389"/>
      <c r="EE99" s="389"/>
      <c r="EF99" s="389"/>
      <c r="EG99" s="389"/>
      <c r="EH99" s="389"/>
      <c r="EI99" s="389"/>
      <c r="EJ99" s="389"/>
      <c r="EK99" s="389"/>
      <c r="EL99" s="389"/>
      <c r="EM99" s="389"/>
      <c r="EN99" s="389"/>
      <c r="EO99" s="389"/>
      <c r="EP99" s="389"/>
      <c r="EQ99" s="389"/>
      <c r="ER99" s="389"/>
      <c r="ES99" s="389"/>
      <c r="ET99" s="389"/>
      <c r="EU99" s="389"/>
      <c r="EV99" s="389"/>
      <c r="EW99" s="45"/>
    </row>
    <row r="100" spans="1:153" x14ac:dyDescent="0.35">
      <c r="A100" s="45"/>
      <c r="B100" s="45"/>
      <c r="C100" s="45"/>
      <c r="D100" s="66"/>
      <c r="E100" s="66"/>
      <c r="F100" s="66"/>
      <c r="G100" s="66"/>
      <c r="H100" s="66"/>
      <c r="I100" s="79"/>
      <c r="J100" s="66"/>
      <c r="K100" s="280"/>
      <c r="L100" s="280"/>
      <c r="M100" s="280"/>
      <c r="N100" s="280"/>
      <c r="O100" s="66"/>
      <c r="P100" s="66"/>
      <c r="Q100" s="66" t="s">
        <v>0</v>
      </c>
      <c r="R100" s="952">
        <f>MAX((R89-R90*((R91/R95)*(1+R86*R95)))/R94,0.6*R89/R94)</f>
        <v>2.5035306503093358E-4</v>
      </c>
      <c r="S100" s="952"/>
      <c r="T100" s="952"/>
      <c r="U100" s="952"/>
      <c r="V100" s="952"/>
      <c r="W100" s="66"/>
      <c r="X100" s="66"/>
      <c r="Y100" s="66"/>
      <c r="Z100" s="66"/>
      <c r="AA100" s="66"/>
      <c r="AB100" s="66"/>
      <c r="AC100" s="66"/>
      <c r="AD100" s="66"/>
      <c r="AE100" s="66"/>
      <c r="AF100" s="66"/>
      <c r="AG100" s="66"/>
      <c r="AH100" s="66"/>
      <c r="AI100" s="66"/>
      <c r="AJ100" s="45"/>
      <c r="AN100" s="45"/>
      <c r="AO100" s="45"/>
      <c r="AP100" s="45"/>
      <c r="AQ100" s="66"/>
      <c r="AR100" s="66"/>
      <c r="AS100" s="66"/>
      <c r="AT100" s="66"/>
      <c r="AU100" s="66"/>
      <c r="AV100" s="79"/>
      <c r="AW100" s="66"/>
      <c r="AX100" s="280"/>
      <c r="AY100" s="280"/>
      <c r="AZ100" s="280"/>
      <c r="BA100" s="280"/>
      <c r="BB100" s="66"/>
      <c r="BC100" s="66"/>
      <c r="BD100" s="66" t="s">
        <v>0</v>
      </c>
      <c r="BE100" s="952">
        <f>MAX((BE89-BE90*((BE91/BE95)*(1+BE86*BE95)))/BE94,0.6*BE89/BE94)</f>
        <v>3.6670327908686789E-5</v>
      </c>
      <c r="BF100" s="952"/>
      <c r="BG100" s="952"/>
      <c r="BH100" s="952"/>
      <c r="BI100" s="952"/>
      <c r="BJ100" s="66"/>
      <c r="BK100" s="66"/>
      <c r="BL100" s="66"/>
      <c r="BM100" s="66"/>
      <c r="BN100" s="66"/>
      <c r="BO100" s="66"/>
      <c r="BP100" s="66"/>
      <c r="BQ100" s="66"/>
      <c r="BR100" s="66"/>
      <c r="BS100" s="66"/>
      <c r="BT100" s="66"/>
      <c r="BU100" s="66"/>
      <c r="BV100" s="66"/>
      <c r="BW100" s="45"/>
      <c r="CA100" s="45"/>
      <c r="CB100" s="45"/>
      <c r="CC100" s="45"/>
      <c r="CD100" s="307"/>
      <c r="CE100" s="307"/>
      <c r="CF100" s="307"/>
      <c r="CG100" s="307"/>
      <c r="CH100" s="307"/>
      <c r="CI100" s="297"/>
      <c r="CJ100" s="307"/>
      <c r="CK100" s="280"/>
      <c r="CL100" s="280"/>
      <c r="CM100" s="280"/>
      <c r="CN100" s="280"/>
      <c r="CO100" s="307"/>
      <c r="CP100" s="307"/>
      <c r="CQ100" s="307" t="s">
        <v>0</v>
      </c>
      <c r="CR100" s="952">
        <f>MAX((CR89-CR90*((CR91/CR95)*(1+CR86*CR95)))/CR94,0.6*CR89/CR94)</f>
        <v>1.1047684863104729E-4</v>
      </c>
      <c r="CS100" s="952"/>
      <c r="CT100" s="952"/>
      <c r="CU100" s="952"/>
      <c r="CV100" s="952"/>
      <c r="CW100" s="307"/>
      <c r="CX100" s="307"/>
      <c r="CY100" s="307"/>
      <c r="CZ100" s="307"/>
      <c r="DA100" s="307"/>
      <c r="DB100" s="307"/>
      <c r="DC100" s="307"/>
      <c r="DD100" s="307"/>
      <c r="DE100" s="307"/>
      <c r="DF100" s="307"/>
      <c r="DG100" s="307"/>
      <c r="DH100" s="307"/>
      <c r="DI100" s="307"/>
      <c r="DJ100" s="45"/>
      <c r="DN100" s="45"/>
      <c r="DO100" s="45"/>
      <c r="DP100" s="45"/>
      <c r="DQ100" s="389"/>
      <c r="DR100" s="389"/>
      <c r="DS100" s="389"/>
      <c r="DT100" s="389"/>
      <c r="DU100" s="389"/>
      <c r="DV100" s="297"/>
      <c r="DW100" s="389"/>
      <c r="DX100" s="280"/>
      <c r="DY100" s="280"/>
      <c r="DZ100" s="280"/>
      <c r="EA100" s="280"/>
      <c r="EB100" s="389"/>
      <c r="EC100" s="389"/>
      <c r="ED100" s="389" t="s">
        <v>0</v>
      </c>
      <c r="EE100" s="952">
        <f>MAX((EE89-EE90*((EE91/EE95)*(1+EE86*EE95)))/EE94,0.6*EE89/EE94)</f>
        <v>1.0893090795510145E-4</v>
      </c>
      <c r="EF100" s="952"/>
      <c r="EG100" s="952"/>
      <c r="EH100" s="952"/>
      <c r="EI100" s="952"/>
      <c r="EJ100" s="389"/>
      <c r="EK100" s="389"/>
      <c r="EL100" s="389"/>
      <c r="EM100" s="389"/>
      <c r="EN100" s="389"/>
      <c r="EO100" s="389"/>
      <c r="EP100" s="389"/>
      <c r="EQ100" s="389"/>
      <c r="ER100" s="389"/>
      <c r="ES100" s="389"/>
      <c r="ET100" s="389"/>
      <c r="EU100" s="389"/>
      <c r="EV100" s="389"/>
      <c r="EW100" s="45"/>
    </row>
    <row r="101" spans="1:153" x14ac:dyDescent="0.35">
      <c r="A101" s="45"/>
      <c r="B101" s="45"/>
      <c r="C101" s="45"/>
      <c r="D101" s="66"/>
      <c r="E101" s="66"/>
      <c r="F101" s="66"/>
      <c r="G101" s="66"/>
      <c r="H101" s="66"/>
      <c r="I101" s="79"/>
      <c r="J101" s="66"/>
      <c r="K101" s="280"/>
      <c r="L101" s="280"/>
      <c r="M101" s="280"/>
      <c r="N101" s="280"/>
      <c r="O101" s="66"/>
      <c r="P101" s="66"/>
      <c r="Q101" s="66"/>
      <c r="R101" s="66"/>
      <c r="S101" s="66"/>
      <c r="T101" s="66"/>
      <c r="U101" s="66"/>
      <c r="V101" s="66"/>
      <c r="W101" s="66"/>
      <c r="X101" s="66"/>
      <c r="Y101" s="66"/>
      <c r="Z101" s="66"/>
      <c r="AA101" s="66"/>
      <c r="AB101" s="66"/>
      <c r="AC101" s="66"/>
      <c r="AD101" s="66"/>
      <c r="AE101" s="66"/>
      <c r="AF101" s="66"/>
      <c r="AG101" s="66"/>
      <c r="AH101" s="66"/>
      <c r="AI101" s="66"/>
      <c r="AJ101" s="45"/>
      <c r="AN101" s="45"/>
      <c r="AO101" s="45"/>
      <c r="AP101" s="45"/>
      <c r="AQ101" s="66"/>
      <c r="AR101" s="66"/>
      <c r="AS101" s="66"/>
      <c r="AT101" s="66"/>
      <c r="AU101" s="66"/>
      <c r="AV101" s="79"/>
      <c r="AW101" s="66"/>
      <c r="AX101" s="280"/>
      <c r="AY101" s="280"/>
      <c r="AZ101" s="280"/>
      <c r="BA101" s="280"/>
      <c r="BB101" s="66"/>
      <c r="BC101" s="66"/>
      <c r="BD101" s="66"/>
      <c r="BE101" s="66"/>
      <c r="BF101" s="66"/>
      <c r="BG101" s="66"/>
      <c r="BH101" s="66"/>
      <c r="BI101" s="66"/>
      <c r="BJ101" s="66"/>
      <c r="BK101" s="66"/>
      <c r="BL101" s="66"/>
      <c r="BM101" s="66"/>
      <c r="BN101" s="66"/>
      <c r="BO101" s="66"/>
      <c r="BP101" s="66"/>
      <c r="BQ101" s="66"/>
      <c r="BR101" s="66"/>
      <c r="BS101" s="66"/>
      <c r="BT101" s="66"/>
      <c r="BU101" s="66"/>
      <c r="BV101" s="66"/>
      <c r="BW101" s="45"/>
      <c r="CA101" s="45"/>
      <c r="CB101" s="45"/>
      <c r="CC101" s="45"/>
      <c r="CD101" s="307"/>
      <c r="CE101" s="307"/>
      <c r="CF101" s="307"/>
      <c r="CG101" s="307"/>
      <c r="CH101" s="307"/>
      <c r="CI101" s="297"/>
      <c r="CJ101" s="307"/>
      <c r="CK101" s="280"/>
      <c r="CL101" s="280"/>
      <c r="CM101" s="280"/>
      <c r="CN101" s="280"/>
      <c r="CO101" s="307"/>
      <c r="CP101" s="307"/>
      <c r="CQ101" s="307"/>
      <c r="CR101" s="307"/>
      <c r="CS101" s="307"/>
      <c r="CT101" s="307"/>
      <c r="CU101" s="307"/>
      <c r="CV101" s="307"/>
      <c r="CW101" s="307"/>
      <c r="CX101" s="307"/>
      <c r="CY101" s="307"/>
      <c r="CZ101" s="307"/>
      <c r="DA101" s="307"/>
      <c r="DB101" s="307"/>
      <c r="DC101" s="307"/>
      <c r="DD101" s="307"/>
      <c r="DE101" s="307"/>
      <c r="DF101" s="307"/>
      <c r="DG101" s="307"/>
      <c r="DH101" s="307"/>
      <c r="DI101" s="307"/>
      <c r="DJ101" s="45"/>
      <c r="DN101" s="45"/>
      <c r="DO101" s="45"/>
      <c r="DP101" s="45"/>
      <c r="DQ101" s="389"/>
      <c r="DR101" s="389"/>
      <c r="DS101" s="389"/>
      <c r="DT101" s="389"/>
      <c r="DU101" s="389"/>
      <c r="DV101" s="297"/>
      <c r="DW101" s="389"/>
      <c r="DX101" s="280"/>
      <c r="DY101" s="280"/>
      <c r="DZ101" s="280"/>
      <c r="EA101" s="280"/>
      <c r="EB101" s="389"/>
      <c r="EC101" s="389"/>
      <c r="ED101" s="389"/>
      <c r="EE101" s="389"/>
      <c r="EF101" s="389"/>
      <c r="EG101" s="389"/>
      <c r="EH101" s="389"/>
      <c r="EI101" s="389"/>
      <c r="EJ101" s="389"/>
      <c r="EK101" s="389"/>
      <c r="EL101" s="389"/>
      <c r="EM101" s="389"/>
      <c r="EN101" s="389"/>
      <c r="EO101" s="389"/>
      <c r="EP101" s="389"/>
      <c r="EQ101" s="389"/>
      <c r="ER101" s="389"/>
      <c r="ES101" s="389"/>
      <c r="ET101" s="389"/>
      <c r="EU101" s="389"/>
      <c r="EV101" s="389"/>
      <c r="EW101" s="45"/>
    </row>
    <row r="102" spans="1:153" x14ac:dyDescent="0.35">
      <c r="A102" s="45"/>
      <c r="B102" s="45"/>
      <c r="C102" s="45"/>
      <c r="D102" s="704" t="s">
        <v>338</v>
      </c>
      <c r="E102" s="704"/>
      <c r="F102" s="704"/>
      <c r="G102" s="704"/>
      <c r="H102" s="704"/>
      <c r="I102" s="704"/>
      <c r="J102" s="704"/>
      <c r="K102" s="704"/>
      <c r="L102" s="704"/>
      <c r="M102" s="704"/>
      <c r="N102" s="704"/>
      <c r="O102" s="704"/>
      <c r="P102" s="704"/>
      <c r="Q102" s="704"/>
      <c r="R102" s="704" t="s">
        <v>0</v>
      </c>
      <c r="S102" s="954">
        <f>P80*R100</f>
        <v>0.15528414092492221</v>
      </c>
      <c r="T102" s="954"/>
      <c r="U102" s="954"/>
      <c r="V102" s="954"/>
      <c r="W102" s="956" t="str">
        <f>IF(S102&lt;0.3,"&lt; 0.3 mm Safe","check")</f>
        <v>&lt; 0.3 mm Safe</v>
      </c>
      <c r="X102" s="957"/>
      <c r="Y102" s="957"/>
      <c r="Z102" s="957"/>
      <c r="AA102" s="957"/>
      <c r="AB102" s="957"/>
      <c r="AC102" s="957"/>
      <c r="AD102" s="957"/>
      <c r="AE102" s="957"/>
      <c r="AF102" s="957"/>
      <c r="AG102" s="957"/>
      <c r="AH102" s="957"/>
      <c r="AI102" s="957"/>
      <c r="AJ102" s="45"/>
      <c r="AN102" s="45"/>
      <c r="AO102" s="45"/>
      <c r="AP102" s="45"/>
      <c r="AQ102" s="704" t="s">
        <v>338</v>
      </c>
      <c r="AR102" s="704"/>
      <c r="AS102" s="704"/>
      <c r="AT102" s="704"/>
      <c r="AU102" s="704"/>
      <c r="AV102" s="704"/>
      <c r="AW102" s="704"/>
      <c r="AX102" s="704"/>
      <c r="AY102" s="704"/>
      <c r="AZ102" s="704"/>
      <c r="BA102" s="704"/>
      <c r="BB102" s="704"/>
      <c r="BC102" s="704"/>
      <c r="BD102" s="704"/>
      <c r="BE102" s="704" t="s">
        <v>0</v>
      </c>
      <c r="BF102" s="954">
        <f>(BC80*BE100)</f>
        <v>2.5225571564708602E-2</v>
      </c>
      <c r="BG102" s="954"/>
      <c r="BH102" s="954"/>
      <c r="BI102" s="954"/>
      <c r="BJ102" s="956" t="str">
        <f>IF(BF102&lt;0.3,"&lt; 0.3 mm Safe","check")</f>
        <v>&lt; 0.3 mm Safe</v>
      </c>
      <c r="BK102" s="957"/>
      <c r="BL102" s="957"/>
      <c r="BM102" s="957"/>
      <c r="BN102" s="957"/>
      <c r="BO102" s="957"/>
      <c r="BP102" s="957"/>
      <c r="BQ102" s="957"/>
      <c r="BR102" s="957"/>
      <c r="BS102" s="957"/>
      <c r="BT102" s="957"/>
      <c r="BU102" s="957"/>
      <c r="BV102" s="957"/>
      <c r="BW102" s="45"/>
      <c r="CA102" s="45"/>
      <c r="CB102" s="45"/>
      <c r="CC102" s="45"/>
      <c r="CD102" s="704" t="s">
        <v>338</v>
      </c>
      <c r="CE102" s="704"/>
      <c r="CF102" s="704"/>
      <c r="CG102" s="704"/>
      <c r="CH102" s="704"/>
      <c r="CI102" s="704"/>
      <c r="CJ102" s="704"/>
      <c r="CK102" s="704"/>
      <c r="CL102" s="704"/>
      <c r="CM102" s="704"/>
      <c r="CN102" s="704"/>
      <c r="CO102" s="704"/>
      <c r="CP102" s="704"/>
      <c r="CQ102" s="704"/>
      <c r="CR102" s="704" t="s">
        <v>0</v>
      </c>
      <c r="CS102" s="954">
        <f>CP80*CR100</f>
        <v>7.5997183835538912E-2</v>
      </c>
      <c r="CT102" s="954"/>
      <c r="CU102" s="954"/>
      <c r="CV102" s="954"/>
      <c r="CW102" s="956" t="str">
        <f>IF(CS102&lt;0.3,"&lt; 0.3 mm Safe","check")</f>
        <v>&lt; 0.3 mm Safe</v>
      </c>
      <c r="CX102" s="957"/>
      <c r="CY102" s="957"/>
      <c r="CZ102" s="957"/>
      <c r="DA102" s="957"/>
      <c r="DB102" s="957"/>
      <c r="DC102" s="957"/>
      <c r="DD102" s="957"/>
      <c r="DE102" s="957"/>
      <c r="DF102" s="957"/>
      <c r="DG102" s="957"/>
      <c r="DH102" s="957"/>
      <c r="DI102" s="957"/>
      <c r="DJ102" s="45"/>
      <c r="DN102" s="45"/>
      <c r="DO102" s="45"/>
      <c r="DP102" s="45"/>
      <c r="DQ102" s="704" t="s">
        <v>338</v>
      </c>
      <c r="DR102" s="704"/>
      <c r="DS102" s="704"/>
      <c r="DT102" s="704"/>
      <c r="DU102" s="704"/>
      <c r="DV102" s="704"/>
      <c r="DW102" s="704"/>
      <c r="DX102" s="704"/>
      <c r="DY102" s="704"/>
      <c r="DZ102" s="704"/>
      <c r="EA102" s="704"/>
      <c r="EB102" s="704"/>
      <c r="EC102" s="704"/>
      <c r="ED102" s="704"/>
      <c r="EE102" s="704" t="s">
        <v>0</v>
      </c>
      <c r="EF102" s="954">
        <f>(EC80*EE100)</f>
        <v>6.7565549716316259E-2</v>
      </c>
      <c r="EG102" s="954"/>
      <c r="EH102" s="954"/>
      <c r="EI102" s="954"/>
      <c r="EJ102" s="956" t="str">
        <f>IF(EF102&lt;0.3,"&lt; 0.3 mm Safe","check")</f>
        <v>&lt; 0.3 mm Safe</v>
      </c>
      <c r="EK102" s="957"/>
      <c r="EL102" s="957"/>
      <c r="EM102" s="957"/>
      <c r="EN102" s="957"/>
      <c r="EO102" s="957"/>
      <c r="EP102" s="957"/>
      <c r="EQ102" s="957"/>
      <c r="ER102" s="957"/>
      <c r="ES102" s="957"/>
      <c r="ET102" s="957"/>
      <c r="EU102" s="957"/>
      <c r="EV102" s="957"/>
      <c r="EW102" s="45"/>
    </row>
    <row r="103" spans="1:153" x14ac:dyDescent="0.35">
      <c r="A103" s="45"/>
      <c r="B103" s="45"/>
      <c r="C103" s="45"/>
      <c r="D103" s="704"/>
      <c r="E103" s="704"/>
      <c r="F103" s="704"/>
      <c r="G103" s="704"/>
      <c r="H103" s="704"/>
      <c r="I103" s="704"/>
      <c r="J103" s="704"/>
      <c r="K103" s="704"/>
      <c r="L103" s="704"/>
      <c r="M103" s="704"/>
      <c r="N103" s="704"/>
      <c r="O103" s="704"/>
      <c r="P103" s="704"/>
      <c r="Q103" s="704"/>
      <c r="R103" s="953"/>
      <c r="S103" s="955"/>
      <c r="T103" s="955"/>
      <c r="U103" s="955"/>
      <c r="V103" s="955"/>
      <c r="W103" s="957"/>
      <c r="X103" s="957"/>
      <c r="Y103" s="957"/>
      <c r="Z103" s="957"/>
      <c r="AA103" s="957"/>
      <c r="AB103" s="957"/>
      <c r="AC103" s="957"/>
      <c r="AD103" s="957"/>
      <c r="AE103" s="957"/>
      <c r="AF103" s="957"/>
      <c r="AG103" s="957"/>
      <c r="AH103" s="957"/>
      <c r="AI103" s="957"/>
      <c r="AJ103" s="45"/>
      <c r="AN103" s="45"/>
      <c r="AO103" s="45"/>
      <c r="AP103" s="45"/>
      <c r="AQ103" s="704"/>
      <c r="AR103" s="704"/>
      <c r="AS103" s="704"/>
      <c r="AT103" s="704"/>
      <c r="AU103" s="704"/>
      <c r="AV103" s="704"/>
      <c r="AW103" s="704"/>
      <c r="AX103" s="704"/>
      <c r="AY103" s="704"/>
      <c r="AZ103" s="704"/>
      <c r="BA103" s="704"/>
      <c r="BB103" s="704"/>
      <c r="BC103" s="704"/>
      <c r="BD103" s="704"/>
      <c r="BE103" s="953"/>
      <c r="BF103" s="955"/>
      <c r="BG103" s="955"/>
      <c r="BH103" s="955"/>
      <c r="BI103" s="955"/>
      <c r="BJ103" s="957"/>
      <c r="BK103" s="957"/>
      <c r="BL103" s="957"/>
      <c r="BM103" s="957"/>
      <c r="BN103" s="957"/>
      <c r="BO103" s="957"/>
      <c r="BP103" s="957"/>
      <c r="BQ103" s="957"/>
      <c r="BR103" s="957"/>
      <c r="BS103" s="957"/>
      <c r="BT103" s="957"/>
      <c r="BU103" s="957"/>
      <c r="BV103" s="957"/>
      <c r="BW103" s="45"/>
      <c r="CA103" s="45"/>
      <c r="CB103" s="45"/>
      <c r="CC103" s="45"/>
      <c r="CD103" s="704"/>
      <c r="CE103" s="704"/>
      <c r="CF103" s="704"/>
      <c r="CG103" s="704"/>
      <c r="CH103" s="704"/>
      <c r="CI103" s="704"/>
      <c r="CJ103" s="704"/>
      <c r="CK103" s="704"/>
      <c r="CL103" s="704"/>
      <c r="CM103" s="704"/>
      <c r="CN103" s="704"/>
      <c r="CO103" s="704"/>
      <c r="CP103" s="704"/>
      <c r="CQ103" s="704"/>
      <c r="CR103" s="953"/>
      <c r="CS103" s="955"/>
      <c r="CT103" s="955"/>
      <c r="CU103" s="955"/>
      <c r="CV103" s="955"/>
      <c r="CW103" s="957"/>
      <c r="CX103" s="957"/>
      <c r="CY103" s="957"/>
      <c r="CZ103" s="957"/>
      <c r="DA103" s="957"/>
      <c r="DB103" s="957"/>
      <c r="DC103" s="957"/>
      <c r="DD103" s="957"/>
      <c r="DE103" s="957"/>
      <c r="DF103" s="957"/>
      <c r="DG103" s="957"/>
      <c r="DH103" s="957"/>
      <c r="DI103" s="957"/>
      <c r="DJ103" s="45"/>
      <c r="DN103" s="45"/>
      <c r="DO103" s="45"/>
      <c r="DP103" s="45"/>
      <c r="DQ103" s="704"/>
      <c r="DR103" s="704"/>
      <c r="DS103" s="704"/>
      <c r="DT103" s="704"/>
      <c r="DU103" s="704"/>
      <c r="DV103" s="704"/>
      <c r="DW103" s="704"/>
      <c r="DX103" s="704"/>
      <c r="DY103" s="704"/>
      <c r="DZ103" s="704"/>
      <c r="EA103" s="704"/>
      <c r="EB103" s="704"/>
      <c r="EC103" s="704"/>
      <c r="ED103" s="704"/>
      <c r="EE103" s="953"/>
      <c r="EF103" s="955"/>
      <c r="EG103" s="955"/>
      <c r="EH103" s="955"/>
      <c r="EI103" s="955"/>
      <c r="EJ103" s="957"/>
      <c r="EK103" s="957"/>
      <c r="EL103" s="957"/>
      <c r="EM103" s="957"/>
      <c r="EN103" s="957"/>
      <c r="EO103" s="957"/>
      <c r="EP103" s="957"/>
      <c r="EQ103" s="957"/>
      <c r="ER103" s="957"/>
      <c r="ES103" s="957"/>
      <c r="ET103" s="957"/>
      <c r="EU103" s="957"/>
      <c r="EV103" s="957"/>
      <c r="EW103" s="45"/>
    </row>
    <row r="105" spans="1:153" x14ac:dyDescent="0.35">
      <c r="B105" s="941" t="s">
        <v>280</v>
      </c>
      <c r="C105" s="942"/>
      <c r="D105" s="942"/>
      <c r="E105" s="942"/>
      <c r="F105" s="942"/>
      <c r="G105" s="942"/>
      <c r="H105" s="942"/>
      <c r="I105" s="943"/>
      <c r="AO105" s="941" t="s">
        <v>280</v>
      </c>
      <c r="AP105" s="942"/>
      <c r="AQ105" s="942"/>
      <c r="AR105" s="942"/>
      <c r="AS105" s="942"/>
      <c r="AT105" s="942"/>
      <c r="AU105" s="942"/>
      <c r="AV105" s="943"/>
      <c r="CB105" s="941" t="s">
        <v>280</v>
      </c>
      <c r="CC105" s="942"/>
      <c r="CD105" s="942"/>
      <c r="CE105" s="942"/>
      <c r="CF105" s="942"/>
      <c r="CG105" s="942"/>
      <c r="CH105" s="942"/>
      <c r="CI105" s="943"/>
      <c r="DO105" s="941" t="s">
        <v>280</v>
      </c>
      <c r="DP105" s="942"/>
      <c r="DQ105" s="942"/>
      <c r="DR105" s="942"/>
      <c r="DS105" s="942"/>
      <c r="DT105" s="942"/>
      <c r="DU105" s="942"/>
      <c r="DV105" s="943"/>
    </row>
    <row r="106" spans="1:153" x14ac:dyDescent="0.35">
      <c r="B106" s="944" t="s">
        <v>281</v>
      </c>
      <c r="C106" s="944"/>
      <c r="D106" s="944"/>
      <c r="E106" s="944"/>
      <c r="F106" s="944" t="s">
        <v>282</v>
      </c>
      <c r="G106" s="944"/>
      <c r="H106" s="944"/>
      <c r="I106" s="944"/>
      <c r="AO106" s="944" t="s">
        <v>281</v>
      </c>
      <c r="AP106" s="944"/>
      <c r="AQ106" s="944"/>
      <c r="AR106" s="944"/>
      <c r="AS106" s="944" t="s">
        <v>282</v>
      </c>
      <c r="AT106" s="944"/>
      <c r="AU106" s="944"/>
      <c r="AV106" s="944"/>
      <c r="CB106" s="944" t="s">
        <v>281</v>
      </c>
      <c r="CC106" s="944"/>
      <c r="CD106" s="944"/>
      <c r="CE106" s="944"/>
      <c r="CF106" s="944" t="s">
        <v>282</v>
      </c>
      <c r="CG106" s="944"/>
      <c r="CH106" s="944"/>
      <c r="CI106" s="944"/>
      <c r="DO106" s="944" t="s">
        <v>281</v>
      </c>
      <c r="DP106" s="944"/>
      <c r="DQ106" s="944"/>
      <c r="DR106" s="944"/>
      <c r="DS106" s="944" t="s">
        <v>282</v>
      </c>
      <c r="DT106" s="944"/>
      <c r="DU106" s="944"/>
      <c r="DV106" s="944"/>
    </row>
    <row r="107" spans="1:153" x14ac:dyDescent="0.35">
      <c r="B107" s="945">
        <v>1.7</v>
      </c>
      <c r="C107" s="945"/>
      <c r="D107" s="945"/>
      <c r="E107" s="945"/>
      <c r="F107" s="945">
        <v>150</v>
      </c>
      <c r="G107" s="945"/>
      <c r="H107" s="945"/>
      <c r="I107" s="945"/>
      <c r="AO107" s="945">
        <v>1.7</v>
      </c>
      <c r="AP107" s="945"/>
      <c r="AQ107" s="945"/>
      <c r="AR107" s="945"/>
      <c r="AS107" s="945">
        <v>150</v>
      </c>
      <c r="AT107" s="945"/>
      <c r="AU107" s="945"/>
      <c r="AV107" s="945"/>
      <c r="CB107" s="945">
        <v>1.7</v>
      </c>
      <c r="CC107" s="945"/>
      <c r="CD107" s="945"/>
      <c r="CE107" s="945"/>
      <c r="CF107" s="945">
        <v>150</v>
      </c>
      <c r="CG107" s="945"/>
      <c r="CH107" s="945"/>
      <c r="CI107" s="945"/>
      <c r="DO107" s="945">
        <v>1.7</v>
      </c>
      <c r="DP107" s="945"/>
      <c r="DQ107" s="945"/>
      <c r="DR107" s="945"/>
      <c r="DS107" s="945">
        <v>150</v>
      </c>
      <c r="DT107" s="945"/>
      <c r="DU107" s="945"/>
      <c r="DV107" s="945"/>
    </row>
    <row r="108" spans="1:153" x14ac:dyDescent="0.35">
      <c r="B108" s="946">
        <f>B109-((B109-B107)/(F109-F107))*(F109-F108)</f>
        <v>1.6185185185185185</v>
      </c>
      <c r="C108" s="946"/>
      <c r="D108" s="946"/>
      <c r="E108" s="946"/>
      <c r="F108" s="946">
        <f>AE32</f>
        <v>333.33333333333331</v>
      </c>
      <c r="G108" s="946"/>
      <c r="H108" s="946"/>
      <c r="I108" s="946"/>
      <c r="AO108" s="946">
        <f>AO109-((AO109-AO107)/(AS109-AS107))*(AS109-AS108)</f>
        <v>1.6089605734767025</v>
      </c>
      <c r="AP108" s="946"/>
      <c r="AQ108" s="946"/>
      <c r="AR108" s="946"/>
      <c r="AS108" s="946">
        <f>BR32</f>
        <v>354.83870967741933</v>
      </c>
      <c r="AT108" s="946"/>
      <c r="AU108" s="946"/>
      <c r="AV108" s="946"/>
      <c r="CB108" s="946">
        <f>CB109-((CB109-CB107)/(CF109-CF107))*(CF109-CF108)</f>
        <v>1.6089605734767025</v>
      </c>
      <c r="CC108" s="946"/>
      <c r="CD108" s="946"/>
      <c r="CE108" s="946"/>
      <c r="CF108" s="946">
        <f>DE32</f>
        <v>354.83870967741933</v>
      </c>
      <c r="CG108" s="946"/>
      <c r="CH108" s="946"/>
      <c r="CI108" s="946"/>
      <c r="DO108" s="946">
        <f>DO109-((DO109-DO107)/(DS109-DS107))*(DS109-DS108)</f>
        <v>1.6089605734767025</v>
      </c>
      <c r="DP108" s="946"/>
      <c r="DQ108" s="946"/>
      <c r="DR108" s="946"/>
      <c r="DS108" s="946">
        <f>ER32</f>
        <v>354.83870967741933</v>
      </c>
      <c r="DT108" s="946"/>
      <c r="DU108" s="946"/>
      <c r="DV108" s="946"/>
    </row>
    <row r="109" spans="1:153" x14ac:dyDescent="0.35">
      <c r="B109" s="945">
        <v>1.5</v>
      </c>
      <c r="C109" s="945"/>
      <c r="D109" s="945"/>
      <c r="E109" s="945"/>
      <c r="F109" s="947">
        <v>600</v>
      </c>
      <c r="G109" s="947"/>
      <c r="H109" s="947"/>
      <c r="I109" s="947"/>
      <c r="AO109" s="945">
        <v>1.5</v>
      </c>
      <c r="AP109" s="945"/>
      <c r="AQ109" s="945"/>
      <c r="AR109" s="945"/>
      <c r="AS109" s="947">
        <v>600</v>
      </c>
      <c r="AT109" s="947"/>
      <c r="AU109" s="947"/>
      <c r="AV109" s="947"/>
      <c r="CB109" s="945">
        <v>1.5</v>
      </c>
      <c r="CC109" s="945"/>
      <c r="CD109" s="945"/>
      <c r="CE109" s="945"/>
      <c r="CF109" s="947">
        <v>600</v>
      </c>
      <c r="CG109" s="947"/>
      <c r="CH109" s="947"/>
      <c r="CI109" s="947"/>
      <c r="DO109" s="945">
        <v>1.5</v>
      </c>
      <c r="DP109" s="945"/>
      <c r="DQ109" s="945"/>
      <c r="DR109" s="945"/>
      <c r="DS109" s="947">
        <v>600</v>
      </c>
      <c r="DT109" s="947"/>
      <c r="DU109" s="947"/>
      <c r="DV109" s="947"/>
    </row>
  </sheetData>
  <mergeCells count="648">
    <mergeCell ref="CB105:CI105"/>
    <mergeCell ref="CB106:CE106"/>
    <mergeCell ref="CF106:CI106"/>
    <mergeCell ref="CB107:CE107"/>
    <mergeCell ref="CF107:CI107"/>
    <mergeCell ref="CB108:CE108"/>
    <mergeCell ref="CF108:CI108"/>
    <mergeCell ref="CB109:CE109"/>
    <mergeCell ref="CF109:CI109"/>
    <mergeCell ref="CR86:CU86"/>
    <mergeCell ref="CR88:CV88"/>
    <mergeCell ref="CR89:CX89"/>
    <mergeCell ref="CR90:CT90"/>
    <mergeCell ref="CR91:CX91"/>
    <mergeCell ref="CR94:CV94"/>
    <mergeCell ref="CR95:CU95"/>
    <mergeCell ref="CR100:CV100"/>
    <mergeCell ref="CD102:CQ103"/>
    <mergeCell ref="CR102:CR103"/>
    <mergeCell ref="CS102:CV103"/>
    <mergeCell ref="CW102:DI103"/>
    <mergeCell ref="CR73:CU73"/>
    <mergeCell ref="CR74:CU74"/>
    <mergeCell ref="CR75:CU75"/>
    <mergeCell ref="CR76:CU76"/>
    <mergeCell ref="CR77:CW77"/>
    <mergeCell ref="CR78:CU78"/>
    <mergeCell ref="CO80:CO81"/>
    <mergeCell ref="CP80:CS81"/>
    <mergeCell ref="CR85:CU85"/>
    <mergeCell ref="CR62:CU62"/>
    <mergeCell ref="CR63:CV63"/>
    <mergeCell ref="CR64:CV64"/>
    <mergeCell ref="CC65:CM66"/>
    <mergeCell ref="CR65:CV65"/>
    <mergeCell ref="CR67:CU67"/>
    <mergeCell ref="CR68:CU68"/>
    <mergeCell ref="CR69:CU69"/>
    <mergeCell ref="CR70:CU70"/>
    <mergeCell ref="CR55:CU55"/>
    <mergeCell ref="CO56:CP56"/>
    <mergeCell ref="CR56:CU56"/>
    <mergeCell ref="CO57:CP57"/>
    <mergeCell ref="CR57:CU57"/>
    <mergeCell ref="CR58:CU58"/>
    <mergeCell ref="CR59:CU59"/>
    <mergeCell ref="CR60:CU60"/>
    <mergeCell ref="CR61:CU61"/>
    <mergeCell ref="CU41:DD41"/>
    <mergeCell ref="DE41:DH41"/>
    <mergeCell ref="DI41:DL41"/>
    <mergeCell ref="CU42:DD42"/>
    <mergeCell ref="DE42:DH42"/>
    <mergeCell ref="DI42:DL42"/>
    <mergeCell ref="CU43:DD43"/>
    <mergeCell ref="DE43:DH43"/>
    <mergeCell ref="DI43:DL43"/>
    <mergeCell ref="CU38:DD38"/>
    <mergeCell ref="DE38:DH38"/>
    <mergeCell ref="DI38:DL38"/>
    <mergeCell ref="CU39:DD39"/>
    <mergeCell ref="DE39:DH39"/>
    <mergeCell ref="DI39:DL39"/>
    <mergeCell ref="CU40:DD40"/>
    <mergeCell ref="DE40:DH40"/>
    <mergeCell ref="DI40:DL40"/>
    <mergeCell ref="CC36:CL36"/>
    <mergeCell ref="CM36:CP36"/>
    <mergeCell ref="CQ36:CS36"/>
    <mergeCell ref="CU36:DD36"/>
    <mergeCell ref="DE36:DH36"/>
    <mergeCell ref="DI36:DL36"/>
    <mergeCell ref="CC37:CL37"/>
    <mergeCell ref="CM37:CP37"/>
    <mergeCell ref="CQ37:CS37"/>
    <mergeCell ref="CU37:DD37"/>
    <mergeCell ref="DE37:DH37"/>
    <mergeCell ref="DI37:DL37"/>
    <mergeCell ref="CC34:CL34"/>
    <mergeCell ref="CM34:CP34"/>
    <mergeCell ref="CQ34:CS34"/>
    <mergeCell ref="CU34:DD34"/>
    <mergeCell ref="DE34:DH34"/>
    <mergeCell ref="DI34:DL34"/>
    <mergeCell ref="CC35:CL35"/>
    <mergeCell ref="CM35:CP35"/>
    <mergeCell ref="CQ35:CS35"/>
    <mergeCell ref="CU35:DD35"/>
    <mergeCell ref="DE35:DH35"/>
    <mergeCell ref="DI35:DL35"/>
    <mergeCell ref="CC32:CL32"/>
    <mergeCell ref="CM32:CP32"/>
    <mergeCell ref="CQ32:CS32"/>
    <mergeCell ref="CU32:DD32"/>
    <mergeCell ref="DE32:DH32"/>
    <mergeCell ref="DI32:DL32"/>
    <mergeCell ref="CC33:CL33"/>
    <mergeCell ref="CM33:CP33"/>
    <mergeCell ref="CQ33:CS33"/>
    <mergeCell ref="CU33:DD33"/>
    <mergeCell ref="DE33:DH33"/>
    <mergeCell ref="DI33:DL33"/>
    <mergeCell ref="CC30:CL30"/>
    <mergeCell ref="CM30:CP30"/>
    <mergeCell ref="CQ30:CS30"/>
    <mergeCell ref="CU30:DD30"/>
    <mergeCell ref="DE30:DH30"/>
    <mergeCell ref="DI30:DL30"/>
    <mergeCell ref="CC31:CL31"/>
    <mergeCell ref="CM31:CP31"/>
    <mergeCell ref="CQ31:CS31"/>
    <mergeCell ref="CU31:DD31"/>
    <mergeCell ref="DE31:DH31"/>
    <mergeCell ref="DI31:DL31"/>
    <mergeCell ref="CC28:CL28"/>
    <mergeCell ref="CM28:CP28"/>
    <mergeCell ref="CQ28:CS28"/>
    <mergeCell ref="CU28:DD28"/>
    <mergeCell ref="DE28:DH28"/>
    <mergeCell ref="DI28:DL28"/>
    <mergeCell ref="CC29:CL29"/>
    <mergeCell ref="CM29:CP29"/>
    <mergeCell ref="CQ29:CS29"/>
    <mergeCell ref="CU29:DD29"/>
    <mergeCell ref="DE29:DH29"/>
    <mergeCell ref="DI29:DL29"/>
    <mergeCell ref="CC26:CL26"/>
    <mergeCell ref="CM26:CP26"/>
    <mergeCell ref="CQ26:CS26"/>
    <mergeCell ref="CU26:DD26"/>
    <mergeCell ref="DE26:DH26"/>
    <mergeCell ref="DI26:DL26"/>
    <mergeCell ref="CC27:CL27"/>
    <mergeCell ref="CM27:CP27"/>
    <mergeCell ref="CQ27:CS27"/>
    <mergeCell ref="CU27:DD27"/>
    <mergeCell ref="DE27:DH27"/>
    <mergeCell ref="DI27:DL27"/>
    <mergeCell ref="CZ11:DB11"/>
    <mergeCell ref="CZ12:DB12"/>
    <mergeCell ref="CZ13:DB13"/>
    <mergeCell ref="CZ14:DB14"/>
    <mergeCell ref="CZ15:DB15"/>
    <mergeCell ref="CC17:CJ17"/>
    <mergeCell ref="CK17:CR17"/>
    <mergeCell ref="CT17:DL19"/>
    <mergeCell ref="CC24:CL25"/>
    <mergeCell ref="CM24:CS25"/>
    <mergeCell ref="CU24:DD25"/>
    <mergeCell ref="DE24:DL25"/>
    <mergeCell ref="AO109:AR109"/>
    <mergeCell ref="AS109:AV109"/>
    <mergeCell ref="AO105:AV105"/>
    <mergeCell ref="AO106:AR106"/>
    <mergeCell ref="AS106:AV106"/>
    <mergeCell ref="AO107:AR107"/>
    <mergeCell ref="AS107:AV107"/>
    <mergeCell ref="AO108:AR108"/>
    <mergeCell ref="AS108:AV108"/>
    <mergeCell ref="BE95:BH95"/>
    <mergeCell ref="BE100:BI100"/>
    <mergeCell ref="AQ102:BD103"/>
    <mergeCell ref="BE102:BE103"/>
    <mergeCell ref="BF102:BI103"/>
    <mergeCell ref="BJ102:BV103"/>
    <mergeCell ref="BB80:BB81"/>
    <mergeCell ref="BC80:BF81"/>
    <mergeCell ref="BE85:BH85"/>
    <mergeCell ref="BE88:BI88"/>
    <mergeCell ref="BE89:BK89"/>
    <mergeCell ref="BE90:BG90"/>
    <mergeCell ref="BE86:BH86"/>
    <mergeCell ref="BE91:BK91"/>
    <mergeCell ref="BE94:BI94"/>
    <mergeCell ref="BE64:BI64"/>
    <mergeCell ref="AP65:AZ66"/>
    <mergeCell ref="BE65:BI65"/>
    <mergeCell ref="BE70:BH70"/>
    <mergeCell ref="BE73:BH73"/>
    <mergeCell ref="BE74:BH74"/>
    <mergeCell ref="BB56:BC56"/>
    <mergeCell ref="BE56:BH56"/>
    <mergeCell ref="BB57:BC57"/>
    <mergeCell ref="BE57:BH57"/>
    <mergeCell ref="BE58:BH58"/>
    <mergeCell ref="BE59:BH59"/>
    <mergeCell ref="BE67:BH67"/>
    <mergeCell ref="BE68:BH68"/>
    <mergeCell ref="BE69:BH69"/>
    <mergeCell ref="BE63:BI63"/>
    <mergeCell ref="AP37:AY37"/>
    <mergeCell ref="AZ37:BC37"/>
    <mergeCell ref="BD37:BF37"/>
    <mergeCell ref="BH37:BQ37"/>
    <mergeCell ref="BR37:BU37"/>
    <mergeCell ref="BV37:BY37"/>
    <mergeCell ref="BH42:BQ42"/>
    <mergeCell ref="BR42:BU42"/>
    <mergeCell ref="BV42:BY42"/>
    <mergeCell ref="BH40:BQ40"/>
    <mergeCell ref="BR40:BU40"/>
    <mergeCell ref="BV40:BY40"/>
    <mergeCell ref="BH41:BQ41"/>
    <mergeCell ref="BR41:BU41"/>
    <mergeCell ref="BV41:BY41"/>
    <mergeCell ref="AP35:AY35"/>
    <mergeCell ref="AZ35:BC35"/>
    <mergeCell ref="BD35:BF35"/>
    <mergeCell ref="AP36:AY36"/>
    <mergeCell ref="AZ36:BC36"/>
    <mergeCell ref="BD36:BF36"/>
    <mergeCell ref="AP33:AY33"/>
    <mergeCell ref="AZ33:BC33"/>
    <mergeCell ref="BD33:BF33"/>
    <mergeCell ref="AP34:AY34"/>
    <mergeCell ref="AZ34:BC34"/>
    <mergeCell ref="BD34:BF34"/>
    <mergeCell ref="AP31:AY31"/>
    <mergeCell ref="AZ31:BC31"/>
    <mergeCell ref="BD31:BF31"/>
    <mergeCell ref="AP32:AY32"/>
    <mergeCell ref="AZ32:BC32"/>
    <mergeCell ref="BD32:BF32"/>
    <mergeCell ref="AP18:AW18"/>
    <mergeCell ref="AP29:AY29"/>
    <mergeCell ref="AZ29:BC29"/>
    <mergeCell ref="BD29:BF29"/>
    <mergeCell ref="AP20:AW20"/>
    <mergeCell ref="AP28:AY28"/>
    <mergeCell ref="AZ28:BC28"/>
    <mergeCell ref="BD28:BF28"/>
    <mergeCell ref="BD27:BF27"/>
    <mergeCell ref="AP21:AW21"/>
    <mergeCell ref="AP30:AY30"/>
    <mergeCell ref="AZ30:BC30"/>
    <mergeCell ref="BD30:BF30"/>
    <mergeCell ref="BH27:BQ27"/>
    <mergeCell ref="BG17:BY19"/>
    <mergeCell ref="AX18:BE19"/>
    <mergeCell ref="AP19:AW19"/>
    <mergeCell ref="BM15:BO15"/>
    <mergeCell ref="AP17:AW17"/>
    <mergeCell ref="AX17:BE17"/>
    <mergeCell ref="AP8:BY8"/>
    <mergeCell ref="BM10:BO10"/>
    <mergeCell ref="BM11:BO11"/>
    <mergeCell ref="BM12:BO12"/>
    <mergeCell ref="BM13:BO13"/>
    <mergeCell ref="BM14:BO14"/>
    <mergeCell ref="BR27:BU27"/>
    <mergeCell ref="BV27:BY27"/>
    <mergeCell ref="AP24:AY25"/>
    <mergeCell ref="AZ24:BF25"/>
    <mergeCell ref="AP26:AY26"/>
    <mergeCell ref="AZ26:BC26"/>
    <mergeCell ref="BD26:BF26"/>
    <mergeCell ref="BH26:BQ26"/>
    <mergeCell ref="BH24:BQ25"/>
    <mergeCell ref="BR24:BY25"/>
    <mergeCell ref="AX20:BE21"/>
    <mergeCell ref="BE78:BH78"/>
    <mergeCell ref="BE75:BH75"/>
    <mergeCell ref="BE76:BH76"/>
    <mergeCell ref="BE77:BJ77"/>
    <mergeCell ref="BE60:BH60"/>
    <mergeCell ref="BE61:BH61"/>
    <mergeCell ref="BE62:BH62"/>
    <mergeCell ref="BR34:BU34"/>
    <mergeCell ref="BV34:BY34"/>
    <mergeCell ref="BH35:BQ35"/>
    <mergeCell ref="BR35:BU35"/>
    <mergeCell ref="BV35:BY35"/>
    <mergeCell ref="BH36:BQ36"/>
    <mergeCell ref="BR36:BU36"/>
    <mergeCell ref="BV36:BY36"/>
    <mergeCell ref="BH38:BQ38"/>
    <mergeCell ref="BR38:BU38"/>
    <mergeCell ref="BV38:BY38"/>
    <mergeCell ref="BH39:BQ39"/>
    <mergeCell ref="BR39:BU39"/>
    <mergeCell ref="BV39:BY39"/>
    <mergeCell ref="BH43:BQ43"/>
    <mergeCell ref="BR43:BU43"/>
    <mergeCell ref="BV43:BY43"/>
    <mergeCell ref="BR30:BU30"/>
    <mergeCell ref="BV30:BY30"/>
    <mergeCell ref="BH31:BQ31"/>
    <mergeCell ref="BR31:BU31"/>
    <mergeCell ref="BV31:BY31"/>
    <mergeCell ref="BH32:BQ32"/>
    <mergeCell ref="BR32:BU32"/>
    <mergeCell ref="BV32:BY32"/>
    <mergeCell ref="BR28:BU28"/>
    <mergeCell ref="BV28:BY28"/>
    <mergeCell ref="BH29:BQ29"/>
    <mergeCell ref="BR29:BU29"/>
    <mergeCell ref="BV29:BY29"/>
    <mergeCell ref="BH28:BQ28"/>
    <mergeCell ref="BH30:BQ30"/>
    <mergeCell ref="R70:U70"/>
    <mergeCell ref="R73:U73"/>
    <mergeCell ref="R74:U74"/>
    <mergeCell ref="R75:U75"/>
    <mergeCell ref="R60:U60"/>
    <mergeCell ref="R61:U61"/>
    <mergeCell ref="R62:U62"/>
    <mergeCell ref="R63:V63"/>
    <mergeCell ref="K17:R17"/>
    <mergeCell ref="K18:R19"/>
    <mergeCell ref="T17:AL19"/>
    <mergeCell ref="M35:P35"/>
    <mergeCell ref="Q35:S35"/>
    <mergeCell ref="U35:AD35"/>
    <mergeCell ref="AE35:AH35"/>
    <mergeCell ref="AI35:AL35"/>
    <mergeCell ref="C34:L34"/>
    <mergeCell ref="M34:P34"/>
    <mergeCell ref="Q34:S34"/>
    <mergeCell ref="U34:AD34"/>
    <mergeCell ref="AE34:AH34"/>
    <mergeCell ref="AI34:AL34"/>
    <mergeCell ref="C33:L33"/>
    <mergeCell ref="M33:P33"/>
    <mergeCell ref="R89:X89"/>
    <mergeCell ref="R90:T90"/>
    <mergeCell ref="R91:X91"/>
    <mergeCell ref="R94:V94"/>
    <mergeCell ref="R95:U95"/>
    <mergeCell ref="R100:V100"/>
    <mergeCell ref="R78:U78"/>
    <mergeCell ref="O80:O81"/>
    <mergeCell ref="P80:S81"/>
    <mergeCell ref="R85:U85"/>
    <mergeCell ref="R86:U86"/>
    <mergeCell ref="R88:V88"/>
    <mergeCell ref="D102:Q103"/>
    <mergeCell ref="R102:R103"/>
    <mergeCell ref="S102:V103"/>
    <mergeCell ref="W102:AI103"/>
    <mergeCell ref="BE55:BH55"/>
    <mergeCell ref="BH33:BQ33"/>
    <mergeCell ref="BR33:BU33"/>
    <mergeCell ref="BV33:BY33"/>
    <mergeCell ref="BH34:BQ34"/>
    <mergeCell ref="R64:V64"/>
    <mergeCell ref="C65:M66"/>
    <mergeCell ref="R65:V65"/>
    <mergeCell ref="R67:U67"/>
    <mergeCell ref="R68:U68"/>
    <mergeCell ref="R69:U69"/>
    <mergeCell ref="R58:U58"/>
    <mergeCell ref="R59:U59"/>
    <mergeCell ref="C36:L36"/>
    <mergeCell ref="M36:P36"/>
    <mergeCell ref="Q36:S36"/>
    <mergeCell ref="U36:AD36"/>
    <mergeCell ref="AE36:AH36"/>
    <mergeCell ref="AI36:AL36"/>
    <mergeCell ref="C35:L35"/>
    <mergeCell ref="BR26:BU26"/>
    <mergeCell ref="BV26:BY26"/>
    <mergeCell ref="AP27:AY27"/>
    <mergeCell ref="AZ27:BC27"/>
    <mergeCell ref="K20:R21"/>
    <mergeCell ref="M37:P37"/>
    <mergeCell ref="Q37:S37"/>
    <mergeCell ref="U37:AD37"/>
    <mergeCell ref="B109:E109"/>
    <mergeCell ref="F109:I109"/>
    <mergeCell ref="R55:U55"/>
    <mergeCell ref="O56:P56"/>
    <mergeCell ref="R56:U56"/>
    <mergeCell ref="O57:P57"/>
    <mergeCell ref="R57:U57"/>
    <mergeCell ref="B105:I105"/>
    <mergeCell ref="B106:E106"/>
    <mergeCell ref="F106:I106"/>
    <mergeCell ref="B107:E107"/>
    <mergeCell ref="F107:I107"/>
    <mergeCell ref="B108:E108"/>
    <mergeCell ref="F108:I108"/>
    <mergeCell ref="R76:U76"/>
    <mergeCell ref="R77:W77"/>
    <mergeCell ref="U38:AD38"/>
    <mergeCell ref="AE38:AH38"/>
    <mergeCell ref="AI38:AL38"/>
    <mergeCell ref="U39:AD39"/>
    <mergeCell ref="AE39:AH39"/>
    <mergeCell ref="AI39:AL39"/>
    <mergeCell ref="C37:L37"/>
    <mergeCell ref="AE37:AH37"/>
    <mergeCell ref="AI37:AL37"/>
    <mergeCell ref="U42:AD42"/>
    <mergeCell ref="AE42:AH42"/>
    <mergeCell ref="AI42:AL42"/>
    <mergeCell ref="U43:AD43"/>
    <mergeCell ref="AE43:AH43"/>
    <mergeCell ref="AI43:AL43"/>
    <mergeCell ref="U40:AD40"/>
    <mergeCell ref="AE40:AH40"/>
    <mergeCell ref="AI40:AL40"/>
    <mergeCell ref="U41:AD41"/>
    <mergeCell ref="AE41:AH41"/>
    <mergeCell ref="AI41:AL41"/>
    <mergeCell ref="Q33:S33"/>
    <mergeCell ref="U33:AD33"/>
    <mergeCell ref="AE33:AH33"/>
    <mergeCell ref="AI33:AL33"/>
    <mergeCell ref="C32:L32"/>
    <mergeCell ref="M32:P32"/>
    <mergeCell ref="Q32:S32"/>
    <mergeCell ref="U32:AD32"/>
    <mergeCell ref="AE32:AH32"/>
    <mergeCell ref="AI32:AL32"/>
    <mergeCell ref="C31:L31"/>
    <mergeCell ref="M31:P31"/>
    <mergeCell ref="Q31:S31"/>
    <mergeCell ref="U31:AD31"/>
    <mergeCell ref="AE31:AH31"/>
    <mergeCell ref="AI31:AL31"/>
    <mergeCell ref="C30:L30"/>
    <mergeCell ref="M30:P30"/>
    <mergeCell ref="Q30:S30"/>
    <mergeCell ref="U30:AD30"/>
    <mergeCell ref="AE30:AH30"/>
    <mergeCell ref="AI30:AL30"/>
    <mergeCell ref="C29:L29"/>
    <mergeCell ref="M29:P29"/>
    <mergeCell ref="Q29:S29"/>
    <mergeCell ref="U29:AD29"/>
    <mergeCell ref="AE29:AH29"/>
    <mergeCell ref="AI29:AL29"/>
    <mergeCell ref="C28:L28"/>
    <mergeCell ref="M28:P28"/>
    <mergeCell ref="Q28:S28"/>
    <mergeCell ref="U28:AD28"/>
    <mergeCell ref="AE28:AH28"/>
    <mergeCell ref="AI28:AL28"/>
    <mergeCell ref="C27:L27"/>
    <mergeCell ref="M27:P27"/>
    <mergeCell ref="Q27:S27"/>
    <mergeCell ref="U27:AD27"/>
    <mergeCell ref="AE27:AH27"/>
    <mergeCell ref="AI27:AL27"/>
    <mergeCell ref="C8:AL8"/>
    <mergeCell ref="Z10:AB10"/>
    <mergeCell ref="Z11:AB11"/>
    <mergeCell ref="Z12:AB12"/>
    <mergeCell ref="Z13:AB13"/>
    <mergeCell ref="C26:L26"/>
    <mergeCell ref="M26:P26"/>
    <mergeCell ref="Q26:S26"/>
    <mergeCell ref="U26:AD26"/>
    <mergeCell ref="AE26:AH26"/>
    <mergeCell ref="AI26:AL26"/>
    <mergeCell ref="Z14:AB14"/>
    <mergeCell ref="Z15:AB15"/>
    <mergeCell ref="C24:L25"/>
    <mergeCell ref="M24:S25"/>
    <mergeCell ref="U24:AD25"/>
    <mergeCell ref="AE24:AL25"/>
    <mergeCell ref="C20:J20"/>
    <mergeCell ref="C21:J21"/>
    <mergeCell ref="AS1:BZ2"/>
    <mergeCell ref="AN3:AR4"/>
    <mergeCell ref="AS3:BZ4"/>
    <mergeCell ref="CA1:CE2"/>
    <mergeCell ref="CF1:DM2"/>
    <mergeCell ref="CA3:CE4"/>
    <mergeCell ref="CF3:DM4"/>
    <mergeCell ref="A1:E2"/>
    <mergeCell ref="A3:E4"/>
    <mergeCell ref="F1:AM2"/>
    <mergeCell ref="F3:AM4"/>
    <mergeCell ref="AN1:AR2"/>
    <mergeCell ref="C17:J17"/>
    <mergeCell ref="C18:J18"/>
    <mergeCell ref="C19:J19"/>
    <mergeCell ref="CC18:CJ18"/>
    <mergeCell ref="CK18:CR19"/>
    <mergeCell ref="CC19:CJ19"/>
    <mergeCell ref="CC20:CJ20"/>
    <mergeCell ref="CK20:CR21"/>
    <mergeCell ref="CC21:CJ21"/>
    <mergeCell ref="CC8:DL8"/>
    <mergeCell ref="CZ10:DB10"/>
    <mergeCell ref="DN1:DR2"/>
    <mergeCell ref="DS1:EZ2"/>
    <mergeCell ref="DN3:DR4"/>
    <mergeCell ref="DS3:EZ4"/>
    <mergeCell ref="DP8:EY8"/>
    <mergeCell ref="EM10:EO10"/>
    <mergeCell ref="EM11:EO11"/>
    <mergeCell ref="EM12:EO12"/>
    <mergeCell ref="EM13:EO13"/>
    <mergeCell ref="EM14:EO14"/>
    <mergeCell ref="EM15:EO15"/>
    <mergeCell ref="DP17:DW17"/>
    <mergeCell ref="DX17:EE17"/>
    <mergeCell ref="EG17:EY19"/>
    <mergeCell ref="DP18:DW18"/>
    <mergeCell ref="DX18:EE19"/>
    <mergeCell ref="DP19:DW19"/>
    <mergeCell ref="DP20:DW20"/>
    <mergeCell ref="DX20:EE21"/>
    <mergeCell ref="DP21:DW21"/>
    <mergeCell ref="DP24:DY25"/>
    <mergeCell ref="DZ24:EF25"/>
    <mergeCell ref="EH24:EQ25"/>
    <mergeCell ref="ER24:EY25"/>
    <mergeCell ref="DP26:DY26"/>
    <mergeCell ref="DZ26:EC26"/>
    <mergeCell ref="ED26:EF26"/>
    <mergeCell ref="EH26:EQ26"/>
    <mergeCell ref="ER26:EU26"/>
    <mergeCell ref="EV26:EY26"/>
    <mergeCell ref="DP27:DY27"/>
    <mergeCell ref="DZ27:EC27"/>
    <mergeCell ref="ED27:EF27"/>
    <mergeCell ref="EH27:EQ27"/>
    <mergeCell ref="ER27:EU27"/>
    <mergeCell ref="EV27:EY27"/>
    <mergeCell ref="DP28:DY28"/>
    <mergeCell ref="DZ28:EC28"/>
    <mergeCell ref="ED28:EF28"/>
    <mergeCell ref="EH28:EQ28"/>
    <mergeCell ref="ER28:EU28"/>
    <mergeCell ref="EV28:EY28"/>
    <mergeCell ref="DP29:DY29"/>
    <mergeCell ref="DZ29:EC29"/>
    <mergeCell ref="ED29:EF29"/>
    <mergeCell ref="EH29:EQ29"/>
    <mergeCell ref="ER29:EU29"/>
    <mergeCell ref="EV29:EY29"/>
    <mergeCell ref="DP30:DY30"/>
    <mergeCell ref="DZ30:EC30"/>
    <mergeCell ref="ED30:EF30"/>
    <mergeCell ref="EH30:EQ30"/>
    <mergeCell ref="ER30:EU30"/>
    <mergeCell ref="EV30:EY30"/>
    <mergeCell ref="DP31:DY31"/>
    <mergeCell ref="DZ31:EC31"/>
    <mergeCell ref="ED31:EF31"/>
    <mergeCell ref="EH31:EQ31"/>
    <mergeCell ref="ER31:EU31"/>
    <mergeCell ref="EV31:EY31"/>
    <mergeCell ref="DP32:DY32"/>
    <mergeCell ref="DZ32:EC32"/>
    <mergeCell ref="ED32:EF32"/>
    <mergeCell ref="EH32:EQ32"/>
    <mergeCell ref="ER32:EU32"/>
    <mergeCell ref="EV32:EY32"/>
    <mergeCell ref="DP33:DY33"/>
    <mergeCell ref="DZ33:EC33"/>
    <mergeCell ref="ED33:EF33"/>
    <mergeCell ref="EH33:EQ33"/>
    <mergeCell ref="ER33:EU33"/>
    <mergeCell ref="EV33:EY33"/>
    <mergeCell ref="DP34:DY34"/>
    <mergeCell ref="DZ34:EC34"/>
    <mergeCell ref="ED34:EF34"/>
    <mergeCell ref="EH34:EQ34"/>
    <mergeCell ref="ER34:EU34"/>
    <mergeCell ref="EV34:EY34"/>
    <mergeCell ref="DP35:DY35"/>
    <mergeCell ref="DZ35:EC35"/>
    <mergeCell ref="ED35:EF35"/>
    <mergeCell ref="EH35:EQ35"/>
    <mergeCell ref="ER35:EU35"/>
    <mergeCell ref="EV35:EY35"/>
    <mergeCell ref="DP36:DY36"/>
    <mergeCell ref="DZ36:EC36"/>
    <mergeCell ref="ED36:EF36"/>
    <mergeCell ref="EH36:EQ36"/>
    <mergeCell ref="ER36:EU36"/>
    <mergeCell ref="EV36:EY36"/>
    <mergeCell ref="DP37:DY37"/>
    <mergeCell ref="DZ37:EC37"/>
    <mergeCell ref="ED37:EF37"/>
    <mergeCell ref="EH37:EQ37"/>
    <mergeCell ref="ER37:EU37"/>
    <mergeCell ref="EV37:EY37"/>
    <mergeCell ref="EH38:EQ38"/>
    <mergeCell ref="ER38:EU38"/>
    <mergeCell ref="EV38:EY38"/>
    <mergeCell ref="EH39:EQ39"/>
    <mergeCell ref="ER39:EU39"/>
    <mergeCell ref="EV39:EY39"/>
    <mergeCell ref="EH40:EQ40"/>
    <mergeCell ref="ER40:EU40"/>
    <mergeCell ref="EV40:EY40"/>
    <mergeCell ref="EH41:EQ41"/>
    <mergeCell ref="ER41:EU41"/>
    <mergeCell ref="EV41:EY41"/>
    <mergeCell ref="EH42:EQ42"/>
    <mergeCell ref="ER42:EU42"/>
    <mergeCell ref="EV42:EY42"/>
    <mergeCell ref="EH43:EQ43"/>
    <mergeCell ref="ER43:EU43"/>
    <mergeCell ref="EV43:EY43"/>
    <mergeCell ref="EE55:EH55"/>
    <mergeCell ref="EB56:EC56"/>
    <mergeCell ref="EE56:EH56"/>
    <mergeCell ref="EB57:EC57"/>
    <mergeCell ref="EE57:EH57"/>
    <mergeCell ref="EE58:EH58"/>
    <mergeCell ref="EE59:EH59"/>
    <mergeCell ref="EE60:EH60"/>
    <mergeCell ref="EE61:EH61"/>
    <mergeCell ref="EE62:EH62"/>
    <mergeCell ref="EE63:EI63"/>
    <mergeCell ref="EE64:EI64"/>
    <mergeCell ref="DP65:DZ66"/>
    <mergeCell ref="EE65:EI65"/>
    <mergeCell ref="EE67:EH67"/>
    <mergeCell ref="EE68:EH68"/>
    <mergeCell ref="EE69:EH69"/>
    <mergeCell ref="EE70:EH70"/>
    <mergeCell ref="EE73:EH73"/>
    <mergeCell ref="EE74:EH74"/>
    <mergeCell ref="EE75:EH75"/>
    <mergeCell ref="EE76:EH76"/>
    <mergeCell ref="EE77:EJ77"/>
    <mergeCell ref="EE78:EH78"/>
    <mergeCell ref="EB80:EB81"/>
    <mergeCell ref="EC80:EF81"/>
    <mergeCell ref="EE85:EH85"/>
    <mergeCell ref="EE86:EH86"/>
    <mergeCell ref="EE88:EI88"/>
    <mergeCell ref="EE89:EK89"/>
    <mergeCell ref="EE90:EG90"/>
    <mergeCell ref="EE91:EK91"/>
    <mergeCell ref="EE94:EI94"/>
    <mergeCell ref="EE95:EH95"/>
    <mergeCell ref="EE100:EI100"/>
    <mergeCell ref="DQ102:ED103"/>
    <mergeCell ref="EE102:EE103"/>
    <mergeCell ref="EF102:EI103"/>
    <mergeCell ref="EJ102:EV103"/>
    <mergeCell ref="DO105:DV105"/>
    <mergeCell ref="DO106:DR106"/>
    <mergeCell ref="DS106:DV106"/>
    <mergeCell ref="DO107:DR107"/>
    <mergeCell ref="DS107:DV107"/>
    <mergeCell ref="DO108:DR108"/>
    <mergeCell ref="DS108:DV108"/>
    <mergeCell ref="DO109:DR109"/>
    <mergeCell ref="DS109:DV109"/>
  </mergeCells>
  <pageMargins left="0.70866141732283472" right="0.70866141732283472" top="0.74803149606299213" bottom="0.74803149606299213" header="0.31496062992125984" footer="0.31496062992125984"/>
  <pageSetup paperSize="9" scale="80" orientation="portrait" r:id="rId1"/>
  <rowBreaks count="1" manualBreakCount="1">
    <brk id="45" max="155" man="1"/>
  </rowBreaks>
  <colBreaks count="3" manualBreakCount="3">
    <brk id="39" max="102" man="1"/>
    <brk id="78" max="100" man="1"/>
    <brk id="117" max="102" man="1"/>
  </colBreaks>
  <drawing r:id="rId2"/>
  <legacyDrawing r:id="rId3"/>
  <oleObjects>
    <mc:AlternateContent xmlns:mc="http://schemas.openxmlformats.org/markup-compatibility/2006">
      <mc:Choice Requires="x14">
        <oleObject progId="Equation.3" shapeId="8193" r:id="rId4">
          <objectPr defaultSize="0" autoPict="0" r:id="rId5">
            <anchor moveWithCells="1">
              <from>
                <xdr:col>3</xdr:col>
                <xdr:colOff>95250</xdr:colOff>
                <xdr:row>78</xdr:row>
                <xdr:rowOff>133350</xdr:rowOff>
              </from>
              <to>
                <xdr:col>11</xdr:col>
                <xdr:colOff>57150</xdr:colOff>
                <xdr:row>80</xdr:row>
                <xdr:rowOff>127000</xdr:rowOff>
              </to>
            </anchor>
          </objectPr>
        </oleObject>
      </mc:Choice>
      <mc:Fallback>
        <oleObject progId="Equation.3" shapeId="8193" r:id="rId4"/>
      </mc:Fallback>
    </mc:AlternateContent>
    <mc:AlternateContent xmlns:mc="http://schemas.openxmlformats.org/markup-compatibility/2006">
      <mc:Choice Requires="x14">
        <oleObject progId="Equation.3" shapeId="8196" r:id="rId6">
          <objectPr defaultSize="0" autoPict="0" r:id="rId5">
            <anchor moveWithCells="1">
              <from>
                <xdr:col>42</xdr:col>
                <xdr:colOff>88900</xdr:colOff>
                <xdr:row>78</xdr:row>
                <xdr:rowOff>133350</xdr:rowOff>
              </from>
              <to>
                <xdr:col>51</xdr:col>
                <xdr:colOff>19050</xdr:colOff>
                <xdr:row>80</xdr:row>
                <xdr:rowOff>165100</xdr:rowOff>
              </to>
            </anchor>
          </objectPr>
        </oleObject>
      </mc:Choice>
      <mc:Fallback>
        <oleObject progId="Equation.3" shapeId="8196" r:id="rId6"/>
      </mc:Fallback>
    </mc:AlternateContent>
    <mc:AlternateContent xmlns:mc="http://schemas.openxmlformats.org/markup-compatibility/2006">
      <mc:Choice Requires="x14">
        <oleObject progId="Equation.3" shapeId="8197" r:id="rId7">
          <objectPr defaultSize="0" autoPict="0" r:id="rId5">
            <anchor moveWithCells="1">
              <from>
                <xdr:col>80</xdr:col>
                <xdr:colOff>88900</xdr:colOff>
                <xdr:row>79</xdr:row>
                <xdr:rowOff>19050</xdr:rowOff>
              </from>
              <to>
                <xdr:col>89</xdr:col>
                <xdr:colOff>19050</xdr:colOff>
                <xdr:row>81</xdr:row>
                <xdr:rowOff>50800</xdr:rowOff>
              </to>
            </anchor>
          </objectPr>
        </oleObject>
      </mc:Choice>
      <mc:Fallback>
        <oleObject progId="Equation.3" shapeId="8197" r:id="rId7"/>
      </mc:Fallback>
    </mc:AlternateContent>
    <mc:AlternateContent xmlns:mc="http://schemas.openxmlformats.org/markup-compatibility/2006">
      <mc:Choice Requires="x14">
        <oleObject progId="Equation.3" shapeId="8198" r:id="rId8">
          <objectPr defaultSize="0" autoPict="0" r:id="rId5">
            <anchor moveWithCells="1">
              <from>
                <xdr:col>121</xdr:col>
                <xdr:colOff>57150</xdr:colOff>
                <xdr:row>78</xdr:row>
                <xdr:rowOff>165100</xdr:rowOff>
              </from>
              <to>
                <xdr:col>129</xdr:col>
                <xdr:colOff>146050</xdr:colOff>
                <xdr:row>80</xdr:row>
                <xdr:rowOff>190500</xdr:rowOff>
              </to>
            </anchor>
          </objectPr>
        </oleObject>
      </mc:Choice>
      <mc:Fallback>
        <oleObject progId="Equation.3" shapeId="8198"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5" x14ac:dyDescent="0.35"/>
  <sheetData/>
  <pageMargins left="0.7" right="0.7" top="0.75" bottom="0.75" header="0.3" footer="0.3"/>
  <pageSetup paperSize="8"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8"/>
  <sheetViews>
    <sheetView showGridLines="0" tabSelected="1" view="pageBreakPreview" zoomScaleNormal="100" zoomScaleSheetLayoutView="100" workbookViewId="0">
      <selection activeCell="N6" sqref="N6"/>
    </sheetView>
  </sheetViews>
  <sheetFormatPr defaultRowHeight="14.5" x14ac:dyDescent="0.35"/>
  <cols>
    <col min="4" max="4" width="10.7265625" customWidth="1"/>
    <col min="9" max="9" width="11" bestFit="1" customWidth="1"/>
  </cols>
  <sheetData>
    <row r="1" spans="1:10" ht="18.5" x14ac:dyDescent="0.35">
      <c r="A1" s="1027" t="str">
        <f>CONCATENATE("RCC KERB OVER BOX CULVERT_",F4,"m Height (Design Note)")</f>
        <v>RCC KERB OVER BOX CULVERT_1.3m Height (Design Note)</v>
      </c>
      <c r="B1" s="1027"/>
      <c r="C1" s="1027"/>
      <c r="D1" s="1027"/>
      <c r="E1" s="1027"/>
      <c r="F1" s="1027"/>
      <c r="G1" s="1027"/>
      <c r="H1" s="1027"/>
      <c r="I1" s="1027"/>
      <c r="J1" s="1027"/>
    </row>
    <row r="2" spans="1:10" ht="18.5" x14ac:dyDescent="0.35">
      <c r="A2" s="1028"/>
      <c r="B2" s="1028"/>
      <c r="C2" s="1028"/>
      <c r="D2" s="1028"/>
      <c r="E2" s="1028"/>
      <c r="F2" s="1028"/>
      <c r="G2" s="1028"/>
      <c r="H2" s="1028"/>
      <c r="I2" s="1028"/>
      <c r="J2" s="1028"/>
    </row>
    <row r="3" spans="1:10" x14ac:dyDescent="0.35">
      <c r="A3" s="1029" t="s">
        <v>557</v>
      </c>
      <c r="B3" s="1029"/>
      <c r="C3" s="1029"/>
      <c r="D3" s="1029"/>
      <c r="E3" s="1029" t="s">
        <v>0</v>
      </c>
      <c r="F3" s="1030">
        <v>0.5</v>
      </c>
      <c r="G3" s="1029" t="s">
        <v>1</v>
      </c>
      <c r="H3" s="1029"/>
      <c r="I3" s="1029"/>
      <c r="J3" s="1029"/>
    </row>
    <row r="4" spans="1:10" x14ac:dyDescent="0.35">
      <c r="A4" s="1029" t="s">
        <v>558</v>
      </c>
      <c r="B4" s="1029"/>
      <c r="C4" s="1029"/>
      <c r="D4" s="1029"/>
      <c r="E4" s="1029" t="s">
        <v>0</v>
      </c>
      <c r="F4" s="1030">
        <v>1.3</v>
      </c>
      <c r="G4" s="1029" t="s">
        <v>1</v>
      </c>
      <c r="H4" s="1029"/>
      <c r="I4" s="1029"/>
      <c r="J4" s="1029"/>
    </row>
    <row r="5" spans="1:10" x14ac:dyDescent="0.35">
      <c r="A5" s="1029" t="s">
        <v>582</v>
      </c>
      <c r="B5" s="1029"/>
      <c r="C5" s="1029"/>
      <c r="D5" s="1029"/>
      <c r="E5" s="1029" t="s">
        <v>0</v>
      </c>
      <c r="F5" s="1030">
        <v>1.1000000000000001</v>
      </c>
      <c r="G5" s="1029" t="s">
        <v>1</v>
      </c>
      <c r="H5" s="1029"/>
      <c r="I5" s="1029"/>
      <c r="J5" s="1029"/>
    </row>
    <row r="6" spans="1:10" x14ac:dyDescent="0.35">
      <c r="A6" s="1029" t="s">
        <v>583</v>
      </c>
      <c r="B6" s="1029"/>
      <c r="C6" s="1029"/>
      <c r="D6" s="1029"/>
      <c r="E6" s="1029" t="s">
        <v>0</v>
      </c>
      <c r="F6" s="1030">
        <v>1.5</v>
      </c>
      <c r="G6" s="1029" t="s">
        <v>584</v>
      </c>
      <c r="H6" s="1029"/>
      <c r="I6" s="1029"/>
      <c r="J6" s="1029"/>
    </row>
    <row r="7" spans="1:10" x14ac:dyDescent="0.35">
      <c r="A7" s="1029" t="s">
        <v>559</v>
      </c>
      <c r="B7" s="1029"/>
      <c r="C7" s="1029"/>
      <c r="D7" s="1029"/>
      <c r="E7" s="1029" t="s">
        <v>0</v>
      </c>
      <c r="F7" s="1031">
        <v>30</v>
      </c>
      <c r="G7" s="1029" t="s">
        <v>327</v>
      </c>
      <c r="H7" s="1029"/>
      <c r="I7" s="1029"/>
      <c r="J7" s="1029"/>
    </row>
    <row r="8" spans="1:10" x14ac:dyDescent="0.35">
      <c r="A8" s="1029" t="s">
        <v>560</v>
      </c>
      <c r="B8" s="1029"/>
      <c r="C8" s="1029"/>
      <c r="D8" s="1029"/>
      <c r="E8" s="1029" t="s">
        <v>0</v>
      </c>
      <c r="F8" s="1031">
        <v>500</v>
      </c>
      <c r="G8" s="1029" t="s">
        <v>563</v>
      </c>
      <c r="H8" s="1029"/>
      <c r="I8" s="1029"/>
      <c r="J8" s="1029"/>
    </row>
    <row r="9" spans="1:10" ht="16.5" x14ac:dyDescent="0.35">
      <c r="A9" s="1029" t="s">
        <v>562</v>
      </c>
      <c r="B9" s="1029"/>
      <c r="C9" s="1029"/>
      <c r="D9" s="1029"/>
      <c r="E9" s="1029" t="s">
        <v>0</v>
      </c>
      <c r="F9" s="1030">
        <v>2.5</v>
      </c>
      <c r="G9" s="1029" t="s">
        <v>564</v>
      </c>
      <c r="H9" s="1029"/>
      <c r="I9" s="1029"/>
      <c r="J9" s="1029"/>
    </row>
    <row r="10" spans="1:10" ht="16.5" x14ac:dyDescent="0.35">
      <c r="A10" s="1029" t="s">
        <v>561</v>
      </c>
      <c r="B10" s="1029"/>
      <c r="C10" s="1029"/>
      <c r="D10" s="1029"/>
      <c r="E10" s="1029" t="s">
        <v>0</v>
      </c>
      <c r="F10" s="1030">
        <v>2</v>
      </c>
      <c r="G10" s="1029" t="s">
        <v>564</v>
      </c>
      <c r="H10" s="1029"/>
      <c r="I10" s="1029"/>
      <c r="J10" s="1029"/>
    </row>
    <row r="11" spans="1:10" x14ac:dyDescent="0.35">
      <c r="A11" s="1029" t="s">
        <v>580</v>
      </c>
      <c r="B11" s="1029"/>
      <c r="C11" s="1029"/>
      <c r="D11" s="1029"/>
      <c r="E11" s="1029" t="s">
        <v>0</v>
      </c>
      <c r="F11" s="1032">
        <v>40</v>
      </c>
      <c r="G11" s="1029" t="s">
        <v>2</v>
      </c>
      <c r="H11" s="1029"/>
      <c r="I11" s="1029"/>
      <c r="J11" s="1029"/>
    </row>
    <row r="12" spans="1:10" x14ac:dyDescent="0.35">
      <c r="A12" s="1029" t="s">
        <v>568</v>
      </c>
      <c r="B12" s="1029"/>
      <c r="C12" s="1029"/>
      <c r="D12" s="1029"/>
      <c r="E12" s="1029" t="s">
        <v>0</v>
      </c>
      <c r="F12" s="1033">
        <v>1.5</v>
      </c>
      <c r="G12" s="1029"/>
      <c r="H12" s="1029"/>
      <c r="I12" s="1029"/>
      <c r="J12" s="1029"/>
    </row>
    <row r="13" spans="1:10" x14ac:dyDescent="0.35">
      <c r="A13" s="1029"/>
      <c r="B13" s="1029"/>
      <c r="C13" s="1029"/>
      <c r="D13" s="1029"/>
      <c r="E13" s="1029"/>
      <c r="F13" s="1029"/>
      <c r="G13" s="1029"/>
      <c r="H13" s="1029"/>
      <c r="I13" s="1029"/>
      <c r="J13" s="1029"/>
    </row>
    <row r="14" spans="1:10" x14ac:dyDescent="0.35">
      <c r="A14" s="1029"/>
      <c r="B14" s="1029"/>
      <c r="C14" s="1029"/>
      <c r="D14" s="1029"/>
      <c r="E14" s="1029"/>
      <c r="F14" s="1029"/>
      <c r="G14" s="1029"/>
      <c r="H14" s="1029"/>
      <c r="I14" s="1029"/>
      <c r="J14" s="1029"/>
    </row>
    <row r="15" spans="1:10" ht="15.5" x14ac:dyDescent="0.4">
      <c r="A15" s="1034" t="s">
        <v>529</v>
      </c>
      <c r="B15" s="1029"/>
      <c r="C15" s="1029"/>
      <c r="D15" s="1029"/>
      <c r="E15" s="1029" t="s">
        <v>0</v>
      </c>
      <c r="F15" s="1029"/>
      <c r="G15" s="1029"/>
      <c r="H15" s="1029"/>
      <c r="I15" s="1029"/>
      <c r="J15" s="1029"/>
    </row>
    <row r="16" spans="1:10" x14ac:dyDescent="0.35">
      <c r="A16" s="1029"/>
      <c r="B16" s="1029"/>
      <c r="C16" s="1029"/>
      <c r="D16" s="1029"/>
      <c r="E16" s="1029"/>
      <c r="F16" s="1029"/>
      <c r="G16" s="1029"/>
      <c r="H16" s="1029"/>
      <c r="I16" s="1029"/>
      <c r="J16" s="1029"/>
    </row>
    <row r="17" spans="1:10" x14ac:dyDescent="0.35">
      <c r="A17" s="1029"/>
      <c r="B17" s="1029"/>
      <c r="C17" s="1029"/>
      <c r="D17" s="1029"/>
      <c r="E17" s="1029"/>
      <c r="F17" s="1029"/>
      <c r="G17" s="1029"/>
      <c r="H17" s="1029"/>
      <c r="I17" s="1029"/>
      <c r="J17" s="1029"/>
    </row>
    <row r="18" spans="1:10" x14ac:dyDescent="0.35">
      <c r="A18" s="1029"/>
      <c r="B18" s="1029"/>
      <c r="C18" s="1029"/>
      <c r="D18" s="1029"/>
      <c r="E18" s="1029" t="s">
        <v>0</v>
      </c>
      <c r="F18" s="1041">
        <v>0.3</v>
      </c>
      <c r="G18" s="1029"/>
      <c r="H18" s="1029"/>
      <c r="I18" s="1029"/>
      <c r="J18" s="1029"/>
    </row>
    <row r="19" spans="1:10" x14ac:dyDescent="0.35">
      <c r="A19" s="1029"/>
      <c r="B19" s="1029"/>
      <c r="C19" s="1029"/>
      <c r="D19" s="1029"/>
      <c r="E19" s="1029"/>
      <c r="F19" s="1029"/>
      <c r="G19" s="1029"/>
      <c r="H19" s="1029"/>
      <c r="I19" s="1029"/>
      <c r="J19" s="1029"/>
    </row>
    <row r="20" spans="1:10" x14ac:dyDescent="0.35">
      <c r="A20" s="1034" t="s">
        <v>535</v>
      </c>
      <c r="B20" s="1029"/>
      <c r="C20" s="1029"/>
      <c r="D20" s="1029"/>
      <c r="E20" s="1029" t="s">
        <v>0</v>
      </c>
      <c r="F20" s="1031">
        <v>30</v>
      </c>
      <c r="G20" s="1029" t="s">
        <v>172</v>
      </c>
      <c r="H20" s="1029"/>
      <c r="I20" s="1029"/>
      <c r="J20" s="1029"/>
    </row>
    <row r="21" spans="1:10" x14ac:dyDescent="0.35">
      <c r="A21" s="1034" t="s">
        <v>537</v>
      </c>
      <c r="B21" s="1029"/>
      <c r="C21" s="1029"/>
      <c r="D21" s="1029"/>
      <c r="E21" s="1029" t="s">
        <v>0</v>
      </c>
      <c r="F21" s="1031">
        <f>2/3*(F20)</f>
        <v>20</v>
      </c>
      <c r="G21" s="1029" t="s">
        <v>172</v>
      </c>
      <c r="H21" s="1029"/>
      <c r="I21" s="1029"/>
      <c r="J21" s="1029"/>
    </row>
    <row r="22" spans="1:10" x14ac:dyDescent="0.35">
      <c r="A22" s="1034" t="s">
        <v>538</v>
      </c>
      <c r="B22" s="1029"/>
      <c r="C22" s="1029"/>
      <c r="D22" s="1029"/>
      <c r="E22" s="1029" t="s">
        <v>0</v>
      </c>
      <c r="F22" s="1031">
        <v>0</v>
      </c>
      <c r="G22" s="1029" t="s">
        <v>172</v>
      </c>
      <c r="H22" s="1029"/>
      <c r="I22" s="1029"/>
      <c r="J22" s="1029"/>
    </row>
    <row r="23" spans="1:10" x14ac:dyDescent="0.35">
      <c r="A23" s="1034" t="s">
        <v>539</v>
      </c>
      <c r="B23" s="1029"/>
      <c r="C23" s="1029"/>
      <c r="D23" s="1029"/>
      <c r="E23" s="1029" t="s">
        <v>0</v>
      </c>
      <c r="F23" s="1031">
        <v>0</v>
      </c>
      <c r="G23" s="1029" t="s">
        <v>172</v>
      </c>
      <c r="H23" s="1029"/>
      <c r="I23" s="1029"/>
      <c r="J23" s="1029"/>
    </row>
    <row r="24" spans="1:10" ht="6.75" customHeight="1" x14ac:dyDescent="0.35">
      <c r="A24" s="1029"/>
      <c r="B24" s="1029"/>
      <c r="C24" s="1029"/>
      <c r="D24" s="1029"/>
      <c r="E24" s="1029"/>
      <c r="F24" s="1029"/>
      <c r="G24" s="1029"/>
      <c r="H24" s="1029"/>
      <c r="I24" s="1029"/>
      <c r="J24" s="1029"/>
    </row>
    <row r="25" spans="1:10" x14ac:dyDescent="0.35">
      <c r="A25" s="1035" t="s">
        <v>540</v>
      </c>
      <c r="B25" s="1029"/>
      <c r="C25" s="1029"/>
      <c r="D25" s="1029"/>
      <c r="E25" s="1029" t="s">
        <v>0</v>
      </c>
      <c r="F25" s="1042">
        <f>0.5*F18*F10*F4^2</f>
        <v>0.50700000000000001</v>
      </c>
      <c r="G25" s="1029" t="s">
        <v>565</v>
      </c>
      <c r="H25" s="1029"/>
      <c r="I25" s="1029"/>
      <c r="J25" s="1029"/>
    </row>
    <row r="26" spans="1:10" x14ac:dyDescent="0.35">
      <c r="A26" s="1035" t="s">
        <v>175</v>
      </c>
      <c r="B26" s="1029"/>
      <c r="C26" s="1029"/>
      <c r="D26" s="1029"/>
      <c r="E26" s="1029" t="s">
        <v>0</v>
      </c>
      <c r="F26" s="1042">
        <f>1.2*F18*F10*F4</f>
        <v>0.93599999999999994</v>
      </c>
      <c r="G26" s="1029" t="s">
        <v>565</v>
      </c>
      <c r="H26" s="1036" t="s">
        <v>566</v>
      </c>
      <c r="I26" s="1029"/>
      <c r="J26" s="1029"/>
    </row>
    <row r="27" spans="1:10" x14ac:dyDescent="0.35">
      <c r="A27" s="1035" t="s">
        <v>585</v>
      </c>
      <c r="B27" s="1029"/>
      <c r="C27" s="1029"/>
      <c r="D27" s="1029"/>
      <c r="E27" s="1029" t="s">
        <v>0</v>
      </c>
      <c r="F27" s="1042">
        <f>F5*F6</f>
        <v>1.6500000000000001</v>
      </c>
      <c r="G27" s="1029" t="s">
        <v>565</v>
      </c>
      <c r="H27" s="1036"/>
      <c r="I27" s="1029"/>
      <c r="J27" s="1029"/>
    </row>
    <row r="28" spans="1:10" x14ac:dyDescent="0.35">
      <c r="A28" s="1035" t="s">
        <v>567</v>
      </c>
      <c r="B28" s="1029"/>
      <c r="C28" s="1029"/>
      <c r="D28" s="1029"/>
      <c r="E28" s="1029" t="s">
        <v>0</v>
      </c>
      <c r="F28" s="1042">
        <f>F25+F26+F27</f>
        <v>3.093</v>
      </c>
      <c r="G28" s="1029" t="s">
        <v>565</v>
      </c>
      <c r="H28" s="1029"/>
      <c r="I28" s="1029"/>
      <c r="J28" s="1029"/>
    </row>
    <row r="29" spans="1:10" x14ac:dyDescent="0.35">
      <c r="A29" s="1035" t="s">
        <v>569</v>
      </c>
      <c r="B29" s="1029"/>
      <c r="C29" s="1029"/>
      <c r="D29" s="1029"/>
      <c r="E29" s="1029" t="s">
        <v>0</v>
      </c>
      <c r="F29" s="1042">
        <f>F28*F12</f>
        <v>4.6395</v>
      </c>
      <c r="G29" s="1029" t="s">
        <v>565</v>
      </c>
      <c r="H29" s="1029"/>
      <c r="I29" s="1029"/>
      <c r="J29" s="1029"/>
    </row>
    <row r="30" spans="1:10" x14ac:dyDescent="0.35">
      <c r="A30" s="1035" t="s">
        <v>570</v>
      </c>
      <c r="B30" s="1029"/>
      <c r="C30" s="1029"/>
      <c r="D30" s="1029"/>
      <c r="E30" s="1029" t="s">
        <v>0</v>
      </c>
      <c r="F30" s="1042">
        <f>0.42*F4</f>
        <v>0.54600000000000004</v>
      </c>
      <c r="G30" s="1029" t="s">
        <v>1</v>
      </c>
      <c r="H30" s="1029"/>
      <c r="I30" s="1029"/>
      <c r="J30" s="1029"/>
    </row>
    <row r="31" spans="1:10" x14ac:dyDescent="0.35">
      <c r="A31" s="1035" t="s">
        <v>571</v>
      </c>
      <c r="B31" s="1029"/>
      <c r="C31" s="1029"/>
      <c r="D31" s="1029"/>
      <c r="E31" s="1029" t="s">
        <v>0</v>
      </c>
      <c r="F31" s="1042">
        <f>F4/2</f>
        <v>0.65</v>
      </c>
      <c r="G31" s="1029" t="s">
        <v>1</v>
      </c>
      <c r="H31" s="1029"/>
      <c r="I31" s="1029"/>
      <c r="J31" s="1029"/>
    </row>
    <row r="32" spans="1:10" x14ac:dyDescent="0.35">
      <c r="A32" s="1035" t="s">
        <v>586</v>
      </c>
      <c r="B32" s="1029"/>
      <c r="C32" s="1029"/>
      <c r="D32" s="1029"/>
      <c r="E32" s="1029" t="s">
        <v>0</v>
      </c>
      <c r="F32" s="1042">
        <f>F5/3+F4</f>
        <v>1.6666666666666667</v>
      </c>
      <c r="G32" s="1029" t="s">
        <v>1</v>
      </c>
      <c r="H32" s="1029"/>
      <c r="I32" s="1029"/>
      <c r="J32" s="1029"/>
    </row>
    <row r="33" spans="1:10" x14ac:dyDescent="0.35">
      <c r="A33" s="1035" t="s">
        <v>573</v>
      </c>
      <c r="B33" s="1029"/>
      <c r="C33" s="1029"/>
      <c r="D33" s="1029"/>
      <c r="E33" s="1029" t="s">
        <v>0</v>
      </c>
      <c r="F33" s="1042">
        <f>F25*F30*F12</f>
        <v>0.41523300000000002</v>
      </c>
      <c r="G33" s="1029" t="s">
        <v>572</v>
      </c>
      <c r="H33" s="1029"/>
      <c r="I33" s="1029"/>
      <c r="J33" s="1029"/>
    </row>
    <row r="34" spans="1:10" x14ac:dyDescent="0.35">
      <c r="A34" s="1035" t="s">
        <v>574</v>
      </c>
      <c r="B34" s="1029"/>
      <c r="C34" s="1029"/>
      <c r="D34" s="1029"/>
      <c r="E34" s="1029" t="s">
        <v>0</v>
      </c>
      <c r="F34" s="1042">
        <f>F12*F31*F26</f>
        <v>0.91260000000000008</v>
      </c>
      <c r="G34" s="1029" t="s">
        <v>572</v>
      </c>
      <c r="H34" s="1029"/>
      <c r="I34" s="1029"/>
      <c r="J34" s="1029"/>
    </row>
    <row r="35" spans="1:10" x14ac:dyDescent="0.35">
      <c r="A35" s="1035" t="s">
        <v>587</v>
      </c>
      <c r="B35" s="1029"/>
      <c r="C35" s="1029"/>
      <c r="D35" s="1029"/>
      <c r="E35" s="1029" t="s">
        <v>0</v>
      </c>
      <c r="F35" s="1042">
        <f>F12*F32*F27</f>
        <v>4.125</v>
      </c>
      <c r="G35" s="1029" t="s">
        <v>572</v>
      </c>
      <c r="H35" s="1029"/>
      <c r="I35" s="1029"/>
      <c r="J35" s="1029"/>
    </row>
    <row r="36" spans="1:10" x14ac:dyDescent="0.35">
      <c r="A36" s="1035" t="s">
        <v>588</v>
      </c>
      <c r="B36" s="1029"/>
      <c r="C36" s="1029"/>
      <c r="D36" s="1029"/>
      <c r="E36" s="1029" t="s">
        <v>0</v>
      </c>
      <c r="F36" s="1042">
        <f>F33+F34+F35</f>
        <v>5.452833</v>
      </c>
      <c r="G36" s="1029" t="s">
        <v>572</v>
      </c>
      <c r="H36" s="1029"/>
      <c r="I36" s="1029"/>
      <c r="J36" s="1029"/>
    </row>
    <row r="37" spans="1:10" ht="6" customHeight="1" x14ac:dyDescent="0.35">
      <c r="A37" s="1029"/>
      <c r="B37" s="1029"/>
      <c r="C37" s="1029"/>
      <c r="D37" s="1029"/>
      <c r="E37" s="1029"/>
      <c r="F37" s="1043"/>
      <c r="G37" s="1029"/>
      <c r="H37" s="1029"/>
      <c r="I37" s="1029"/>
      <c r="J37" s="1029"/>
    </row>
    <row r="38" spans="1:10" x14ac:dyDescent="0.35">
      <c r="A38" s="1034" t="s">
        <v>193</v>
      </c>
      <c r="B38" s="1029"/>
      <c r="C38" s="1029"/>
      <c r="D38" s="1029"/>
      <c r="E38" s="1029" t="s">
        <v>0</v>
      </c>
      <c r="F38" s="1042">
        <f>(0.36*F7*1000*F40*F41*(F41-0.416*F41*F40))/10^7</f>
        <v>102.87005339519997</v>
      </c>
      <c r="G38" s="1029" t="s">
        <v>572</v>
      </c>
      <c r="H38" s="1029"/>
      <c r="I38" s="1029"/>
      <c r="J38" s="1029"/>
    </row>
    <row r="39" spans="1:10" ht="17" x14ac:dyDescent="0.45">
      <c r="A39" s="1034" t="s">
        <v>208</v>
      </c>
      <c r="B39" s="1029"/>
      <c r="C39" s="1029"/>
      <c r="D39" s="1029"/>
      <c r="E39" s="1029" t="s">
        <v>0</v>
      </c>
      <c r="F39" s="1029"/>
      <c r="G39" s="1029"/>
      <c r="H39" s="1029"/>
      <c r="I39" s="1029"/>
      <c r="J39" s="1029"/>
    </row>
    <row r="40" spans="1:10" ht="17" x14ac:dyDescent="0.35">
      <c r="A40" s="1037" t="s">
        <v>144</v>
      </c>
      <c r="B40" s="1029"/>
      <c r="C40" s="1029"/>
      <c r="D40" s="1029"/>
      <c r="E40" s="1029" t="s">
        <v>0</v>
      </c>
      <c r="F40" s="1043">
        <v>0.62</v>
      </c>
      <c r="G40" s="1029"/>
      <c r="H40" s="1029"/>
      <c r="I40" s="1029"/>
      <c r="J40" s="1029"/>
    </row>
    <row r="41" spans="1:10" x14ac:dyDescent="0.35">
      <c r="A41" s="1035" t="s">
        <v>579</v>
      </c>
      <c r="B41" s="1029"/>
      <c r="C41" s="1029"/>
      <c r="D41" s="1029"/>
      <c r="E41" s="1029" t="s">
        <v>0</v>
      </c>
      <c r="F41" s="1043">
        <f>(F3*1000)-F11-A45/2</f>
        <v>455</v>
      </c>
      <c r="G41" s="1029" t="s">
        <v>2</v>
      </c>
      <c r="H41" s="1029"/>
      <c r="I41" s="1029"/>
      <c r="J41" s="1029"/>
    </row>
    <row r="42" spans="1:10" ht="5.25" customHeight="1" x14ac:dyDescent="0.35">
      <c r="A42" s="1029"/>
      <c r="B42" s="1029"/>
      <c r="C42" s="1029"/>
      <c r="D42" s="1029"/>
      <c r="E42" s="1029"/>
      <c r="F42" s="1029"/>
      <c r="G42" s="1029"/>
      <c r="H42" s="1029"/>
      <c r="I42" s="1029"/>
      <c r="J42" s="1029"/>
    </row>
    <row r="43" spans="1:10" ht="16.5" x14ac:dyDescent="0.35">
      <c r="A43" s="1035" t="s">
        <v>196</v>
      </c>
      <c r="B43" s="1029"/>
      <c r="C43" s="1029"/>
      <c r="D43" s="1029"/>
      <c r="E43" s="1029" t="s">
        <v>0</v>
      </c>
      <c r="F43" s="1044">
        <f>((0.5*F7)/F8)*(1-SQRT(1-((4.6*F36*10^7)/(F7*1000*(F41)^2))))*1000*F41</f>
        <v>278.47837903254981</v>
      </c>
      <c r="G43" s="1029" t="s">
        <v>575</v>
      </c>
      <c r="H43" s="1029"/>
      <c r="I43" s="1029"/>
      <c r="J43" s="1029"/>
    </row>
    <row r="44" spans="1:10" x14ac:dyDescent="0.35">
      <c r="A44" s="1029" t="s">
        <v>576</v>
      </c>
      <c r="B44" s="1029"/>
      <c r="C44" s="1029"/>
      <c r="D44" s="1029"/>
      <c r="E44" s="1029" t="s">
        <v>0</v>
      </c>
      <c r="F44" s="1038"/>
      <c r="G44" s="1029"/>
      <c r="H44" s="1029"/>
      <c r="I44" s="1029"/>
      <c r="J44" s="1029"/>
    </row>
    <row r="45" spans="1:10" x14ac:dyDescent="0.35">
      <c r="A45" s="1039">
        <v>10</v>
      </c>
      <c r="B45" s="1029" t="s">
        <v>577</v>
      </c>
      <c r="C45" s="1039">
        <v>200</v>
      </c>
      <c r="D45" s="1029" t="s">
        <v>578</v>
      </c>
      <c r="E45" s="1029" t="s">
        <v>0</v>
      </c>
      <c r="F45" s="1044">
        <f>3.1416/4*A45*A45*(1000/C45)</f>
        <v>392.70000000000005</v>
      </c>
      <c r="G45" s="1040" t="str">
        <f>IF(F45&gt;F43,"Safe","Unsafe")</f>
        <v>Safe</v>
      </c>
      <c r="H45" s="1029"/>
      <c r="I45" s="1029"/>
      <c r="J45" s="1029"/>
    </row>
    <row r="46" spans="1:10" x14ac:dyDescent="0.35">
      <c r="A46" s="1029"/>
      <c r="B46" s="1029"/>
      <c r="C46" s="1029"/>
      <c r="D46" s="1029"/>
      <c r="E46" s="1029"/>
      <c r="F46" s="1038"/>
      <c r="G46" s="1029"/>
      <c r="H46" s="1029"/>
      <c r="I46" s="1029"/>
      <c r="J46" s="1029"/>
    </row>
    <row r="47" spans="1:10" x14ac:dyDescent="0.35">
      <c r="A47" s="1029" t="s">
        <v>581</v>
      </c>
      <c r="B47" s="1029"/>
      <c r="C47" s="1029"/>
      <c r="D47" s="1029"/>
      <c r="E47" s="1029"/>
      <c r="F47" s="1044">
        <f>20%*F45</f>
        <v>78.54000000000002</v>
      </c>
      <c r="G47" s="1029"/>
      <c r="H47" s="1029"/>
      <c r="I47" s="1029"/>
      <c r="J47" s="1029"/>
    </row>
    <row r="48" spans="1:10" x14ac:dyDescent="0.35">
      <c r="A48" s="1039">
        <v>10</v>
      </c>
      <c r="B48" s="1029" t="s">
        <v>577</v>
      </c>
      <c r="C48" s="1039">
        <v>250</v>
      </c>
      <c r="D48" s="1029" t="s">
        <v>578</v>
      </c>
      <c r="E48" s="1029" t="s">
        <v>0</v>
      </c>
      <c r="F48" s="1044">
        <f>3.1416/4*A48*A48*(1000/C48)</f>
        <v>314.16000000000003</v>
      </c>
      <c r="G48" s="1040" t="str">
        <f>IF(F48&gt;F47,"Safe","Unsafe")</f>
        <v>Safe</v>
      </c>
      <c r="H48" s="1029"/>
      <c r="I48" s="1029"/>
      <c r="J48" s="1029"/>
    </row>
  </sheetData>
  <sheetProtection algorithmName="SHA-512" hashValue="YOIeIALUnJkETnQV9Cj8kN9EGvN/IFcalCMjbNr4MxTuE0ddqPFlu0UySejhhnWaeDqro7ROXAu9ChlaSLFd9g==" saltValue="RNWM+ha798hv1RPoFNb2mA==" spinCount="100000" sheet="1" objects="1" scenarios="1" formatCells="0" formatColumns="0" formatRows="0" insertColumns="0" insertRows="0" sort="0" autoFilter="0"/>
  <mergeCells count="1">
    <mergeCell ref="A1:J1"/>
  </mergeCells>
  <pageMargins left="0.7" right="0.7" top="0.75" bottom="0.75" header="0.3" footer="0.3"/>
  <pageSetup paperSize="9" scale="92" orientation="portrait" r:id="rId1"/>
  <drawing r:id="rId2"/>
  <legacyDrawing r:id="rId3"/>
  <oleObjects>
    <mc:AlternateContent xmlns:mc="http://schemas.openxmlformats.org/markup-compatibility/2006">
      <mc:Choice Requires="x14">
        <oleObject progId="Equation.3" shapeId="9217" r:id="rId4">
          <objectPr defaultSize="0" autoPict="0" r:id="rId5">
            <anchor moveWithCells="1">
              <from>
                <xdr:col>6</xdr:col>
                <xdr:colOff>431800</xdr:colOff>
                <xdr:row>41</xdr:row>
                <xdr:rowOff>0</xdr:rowOff>
              </from>
              <to>
                <xdr:col>9</xdr:col>
                <xdr:colOff>450850</xdr:colOff>
                <xdr:row>43</xdr:row>
                <xdr:rowOff>127000</xdr:rowOff>
              </to>
            </anchor>
          </objectPr>
        </oleObject>
      </mc:Choice>
      <mc:Fallback>
        <oleObject progId="Equation.3" shapeId="9217"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8</vt:i4>
      </vt:variant>
    </vt:vector>
  </HeadingPairs>
  <TitlesOfParts>
    <vt:vector size="15" baseType="lpstr">
      <vt:lpstr>Front Page</vt:lpstr>
      <vt:lpstr>Index</vt:lpstr>
      <vt:lpstr>Introduction</vt:lpstr>
      <vt:lpstr>Design</vt:lpstr>
      <vt:lpstr>Stress &amp; Crack width</vt:lpstr>
      <vt:lpstr>Sheet1</vt:lpstr>
      <vt:lpstr>Sheet2</vt:lpstr>
      <vt:lpstr>Design!Print_Area</vt:lpstr>
      <vt:lpstr>'Front Page'!Print_Area</vt:lpstr>
      <vt:lpstr>Index!Print_Area</vt:lpstr>
      <vt:lpstr>Introduction!Print_Area</vt:lpstr>
      <vt:lpstr>Sheet2!Print_Area</vt:lpstr>
      <vt:lpstr>'Stress &amp; Crack width'!Print_Area</vt:lpstr>
      <vt:lpstr>Design!Print_Titles</vt:lpstr>
      <vt:lpstr>'Stress &amp; Crack width'!Print_Titles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user52</dc:creator>
  <cp:lastModifiedBy>Dinesh Choudhari</cp:lastModifiedBy>
  <cp:lastPrinted>2020-06-17T11:48:35Z</cp:lastPrinted>
  <dcterms:created xsi:type="dcterms:W3CDTF">2017-03-31T06:17:56Z</dcterms:created>
  <dcterms:modified xsi:type="dcterms:W3CDTF">2024-06-13T13:38:06Z</dcterms:modified>
</cp:coreProperties>
</file>