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inesh data\07) My Bridge Courses\Digital Products\"/>
    </mc:Choice>
  </mc:AlternateContent>
  <bookViews>
    <workbookView xWindow="0" yWindow="0" windowWidth="10840" windowHeight="7230"/>
  </bookViews>
  <sheets>
    <sheet name="Crash Barrier" sheetId="1" r:id="rId1"/>
    <sheet name="Friction Slab" sheetId="6" r:id="rId2"/>
  </sheets>
  <definedNames>
    <definedName name="_xlnm.Print_Area" localSheetId="0">'Crash Barrier'!$A$2:$L$52</definedName>
    <definedName name="_xlnm.Print_Area" localSheetId="1">'Friction Slab'!$A$2:$M$43</definedName>
  </definedNames>
  <calcPr calcId="152511"/>
</workbook>
</file>

<file path=xl/calcChain.xml><?xml version="1.0" encoding="utf-8"?>
<calcChain xmlns="http://schemas.openxmlformats.org/spreadsheetml/2006/main">
  <c r="F19" i="6" l="1"/>
  <c r="F18" i="6"/>
  <c r="F20" i="6" l="1"/>
  <c r="A7" i="1" l="1"/>
  <c r="A22" i="1"/>
  <c r="R19" i="6" l="1"/>
  <c r="Q19" i="6"/>
  <c r="P19" i="6"/>
  <c r="O19" i="6"/>
  <c r="P16" i="6"/>
  <c r="G40" i="6" l="1"/>
  <c r="G42" i="6" s="1"/>
  <c r="G43" i="6"/>
  <c r="G36" i="6"/>
  <c r="F21" i="6"/>
  <c r="H15" i="6"/>
  <c r="F17" i="6"/>
  <c r="F16" i="6"/>
  <c r="F15" i="6"/>
  <c r="F12" i="6"/>
  <c r="F11" i="6"/>
  <c r="G37" i="6" s="1"/>
  <c r="G39" i="6" s="1"/>
  <c r="F10" i="6"/>
  <c r="J22" i="6"/>
  <c r="I18" i="6"/>
  <c r="F13" i="6" s="1"/>
  <c r="I11" i="6"/>
  <c r="F14" i="6" s="1"/>
  <c r="D26" i="6" l="1"/>
  <c r="S22" i="6"/>
  <c r="S23" i="6"/>
  <c r="E29" i="6"/>
  <c r="S19" i="6"/>
  <c r="T19" i="6" s="1"/>
  <c r="H42" i="6"/>
  <c r="E30" i="6"/>
  <c r="D28" i="6"/>
  <c r="G38" i="6"/>
  <c r="D30" i="6"/>
  <c r="E26" i="6"/>
  <c r="F26" i="6" s="1"/>
  <c r="E27" i="6"/>
  <c r="F27" i="6" s="1"/>
  <c r="D29" i="6"/>
  <c r="F29" i="6" s="1"/>
  <c r="E28" i="6"/>
  <c r="F30" i="6" l="1"/>
  <c r="F28" i="6"/>
  <c r="F31" i="6" s="1"/>
  <c r="D31" i="6"/>
  <c r="H36" i="6"/>
  <c r="H40" i="6"/>
  <c r="D39" i="1" l="1"/>
  <c r="D40" i="1" s="1"/>
  <c r="C39" i="1"/>
  <c r="C40" i="1" s="1"/>
  <c r="B39" i="1"/>
  <c r="B40" i="1" s="1"/>
  <c r="G24" i="1"/>
  <c r="F46" i="1" s="1"/>
  <c r="F28" i="1"/>
  <c r="F30" i="1" l="1"/>
  <c r="H29" i="1"/>
  <c r="K27" i="6" l="1"/>
  <c r="K28" i="6" s="1"/>
  <c r="K26" i="6"/>
  <c r="H27" i="6"/>
  <c r="H28" i="6" s="1"/>
  <c r="H26" i="6"/>
  <c r="H32" i="1"/>
  <c r="H34" i="1" s="1"/>
  <c r="Q34" i="1"/>
  <c r="O34" i="1"/>
  <c r="N37" i="1"/>
  <c r="N34" i="1"/>
  <c r="F31" i="1"/>
  <c r="H44" i="1"/>
  <c r="G44" i="1"/>
  <c r="F44" i="1"/>
  <c r="F38" i="1"/>
  <c r="F27" i="1"/>
  <c r="O31" i="1" s="1"/>
  <c r="Q32" i="1" s="1"/>
  <c r="Q31" i="1" s="1"/>
  <c r="Q36" i="1" s="1"/>
  <c r="F29" i="1"/>
  <c r="G29" i="1" s="1"/>
  <c r="N32" i="1"/>
  <c r="G32" i="1" l="1"/>
  <c r="G47" i="1" s="1"/>
  <c r="G39" i="1"/>
  <c r="G43" i="1" s="1"/>
  <c r="G45" i="1" s="1"/>
  <c r="F32" i="1"/>
  <c r="F36" i="1" s="1"/>
  <c r="O36" i="1"/>
  <c r="H40" i="1"/>
  <c r="H43" i="1" s="1"/>
  <c r="H45" i="1" s="1"/>
  <c r="F43" i="1"/>
  <c r="F45" i="1" s="1"/>
  <c r="H47" i="1"/>
  <c r="Q37" i="1"/>
  <c r="O32" i="1"/>
  <c r="G34" i="1" l="1"/>
  <c r="F37" i="1"/>
  <c r="G48" i="1"/>
  <c r="G49" i="1" s="1"/>
  <c r="F34" i="1"/>
  <c r="F41" i="1" s="1"/>
  <c r="F33" i="1"/>
  <c r="F48" i="1"/>
  <c r="F47" i="1"/>
  <c r="H48" i="1"/>
  <c r="H49" i="1" s="1"/>
  <c r="G50" i="1"/>
  <c r="H50" i="1"/>
  <c r="N31" i="1"/>
  <c r="G30" i="1" s="1"/>
  <c r="G36" i="1" s="1"/>
  <c r="O37" i="1"/>
  <c r="N36" i="1" s="1"/>
  <c r="G41" i="1" l="1"/>
  <c r="F49" i="1"/>
  <c r="F50" i="1"/>
  <c r="G51" i="1"/>
  <c r="P32" i="1"/>
  <c r="P31" i="1" s="1"/>
  <c r="H30" i="1" s="1"/>
  <c r="H31" i="1" s="1"/>
  <c r="H33" i="1" s="1"/>
  <c r="G31" i="1"/>
  <c r="G33" i="1" s="1"/>
  <c r="H51" i="1"/>
  <c r="P37" i="1"/>
  <c r="P36" i="1" s="1"/>
  <c r="H46" i="1" s="1"/>
  <c r="G46" i="1"/>
  <c r="H52" i="1" l="1"/>
  <c r="F51" i="1"/>
  <c r="F52" i="1" s="1"/>
  <c r="G52" i="1"/>
  <c r="H36" i="1"/>
  <c r="H41" i="1" s="1"/>
</calcChain>
</file>

<file path=xl/comments1.xml><?xml version="1.0" encoding="utf-8"?>
<comments xmlns="http://schemas.openxmlformats.org/spreadsheetml/2006/main">
  <authors>
    <author>Dinesh Choudhari</author>
  </authors>
  <commentList>
    <comment ref="E24" authorId="0" shapeId="0">
      <text>
        <r>
          <rPr>
            <b/>
            <sz val="9"/>
            <color indexed="81"/>
            <rFont val="Tahoma"/>
            <family val="2"/>
          </rPr>
          <t>Dinesh Choudhari:</t>
        </r>
        <r>
          <rPr>
            <sz val="9"/>
            <color indexed="81"/>
            <rFont val="Tahoma"/>
            <family val="2"/>
          </rPr>
          <t xml:space="preserve">
This speed of vehicle for which road is designed.</t>
        </r>
      </text>
    </comment>
  </commentList>
</comments>
</file>

<file path=xl/sharedStrings.xml><?xml version="1.0" encoding="utf-8"?>
<sst xmlns="http://schemas.openxmlformats.org/spreadsheetml/2006/main" count="247" uniqueCount="123">
  <si>
    <t>Grade of steel</t>
  </si>
  <si>
    <t>Grade concrete</t>
  </si>
  <si>
    <t>Thickness of crash barrier</t>
  </si>
  <si>
    <t>=</t>
  </si>
  <si>
    <t>Design bending moment</t>
  </si>
  <si>
    <t>Area of steel required</t>
  </si>
  <si>
    <t>Area of steel provided</t>
  </si>
  <si>
    <t>As per IRC 6:2016, clause 206.6 note.2</t>
  </si>
  <si>
    <t>M</t>
  </si>
  <si>
    <t>Fe</t>
  </si>
  <si>
    <t>H</t>
  </si>
  <si>
    <t>BM</t>
  </si>
  <si>
    <r>
      <t>A</t>
    </r>
    <r>
      <rPr>
        <vertAlign val="subscript"/>
        <sz val="11"/>
        <color theme="1"/>
        <rFont val="Garamond"/>
        <family val="1"/>
      </rPr>
      <t>st(Provi.)</t>
    </r>
  </si>
  <si>
    <r>
      <t>A</t>
    </r>
    <r>
      <rPr>
        <vertAlign val="subscript"/>
        <sz val="11"/>
        <color theme="1"/>
        <rFont val="Garamond"/>
        <family val="1"/>
      </rPr>
      <t>st(Requ.)</t>
    </r>
  </si>
  <si>
    <t xml:space="preserve">Provided depth </t>
  </si>
  <si>
    <t>Required depth</t>
  </si>
  <si>
    <r>
      <t>d</t>
    </r>
    <r>
      <rPr>
        <vertAlign val="subscript"/>
        <sz val="11"/>
        <color theme="1"/>
        <rFont val="Garamond"/>
        <family val="1"/>
      </rPr>
      <t>eff. (Provi.)</t>
    </r>
  </si>
  <si>
    <r>
      <t>d</t>
    </r>
    <r>
      <rPr>
        <vertAlign val="subscript"/>
        <sz val="11"/>
        <color theme="1"/>
        <rFont val="Garamond"/>
        <family val="1"/>
      </rPr>
      <t>eff. (Requ.)</t>
    </r>
  </si>
  <si>
    <t xml:space="preserve">Distribution reinforcement </t>
  </si>
  <si>
    <t>Section-1</t>
  </si>
  <si>
    <t>Section-2</t>
  </si>
  <si>
    <t>Section-3</t>
  </si>
  <si>
    <t>Area of steel minimum required</t>
  </si>
  <si>
    <t>m</t>
  </si>
  <si>
    <t>mm</t>
  </si>
  <si>
    <t>mm2</t>
  </si>
  <si>
    <r>
      <t>b</t>
    </r>
    <r>
      <rPr>
        <vertAlign val="subscript"/>
        <sz val="11"/>
        <color theme="1"/>
        <rFont val="Garamond"/>
        <family val="1"/>
      </rPr>
      <t>t</t>
    </r>
  </si>
  <si>
    <t>Height</t>
  </si>
  <si>
    <t>Bottom width</t>
  </si>
  <si>
    <t>Total height of crash barrier</t>
  </si>
  <si>
    <t>Section 2</t>
  </si>
  <si>
    <t>Section 3</t>
  </si>
  <si>
    <t>Clear cover</t>
  </si>
  <si>
    <t>c</t>
  </si>
  <si>
    <r>
      <t>A</t>
    </r>
    <r>
      <rPr>
        <vertAlign val="subscript"/>
        <sz val="11"/>
        <color theme="1"/>
        <rFont val="Garamond"/>
        <family val="1"/>
      </rPr>
      <t>st(Min)</t>
    </r>
  </si>
  <si>
    <t>-</t>
  </si>
  <si>
    <r>
      <t>50% of A</t>
    </r>
    <r>
      <rPr>
        <b/>
        <vertAlign val="subscript"/>
        <sz val="10"/>
        <color theme="1"/>
        <rFont val="Garamond"/>
        <family val="1"/>
      </rPr>
      <t>st(Provi.)</t>
    </r>
  </si>
  <si>
    <t>Area of distribution reinforcement required</t>
  </si>
  <si>
    <t>Design shear force</t>
  </si>
  <si>
    <r>
      <t>V</t>
    </r>
    <r>
      <rPr>
        <vertAlign val="subscript"/>
        <sz val="11"/>
        <color theme="1"/>
        <rFont val="Garamond"/>
        <family val="1"/>
      </rPr>
      <t>ed</t>
    </r>
  </si>
  <si>
    <t>t/m</t>
  </si>
  <si>
    <t>t</t>
  </si>
  <si>
    <r>
      <t>(0.5*f</t>
    </r>
    <r>
      <rPr>
        <b/>
        <vertAlign val="subscript"/>
        <sz val="8"/>
        <color theme="1"/>
        <rFont val="Garamond"/>
        <family val="1"/>
      </rPr>
      <t>ck</t>
    </r>
    <r>
      <rPr>
        <b/>
        <sz val="8"/>
        <color theme="1"/>
        <rFont val="Garamond"/>
        <family val="1"/>
      </rPr>
      <t>/f</t>
    </r>
    <r>
      <rPr>
        <b/>
        <vertAlign val="subscript"/>
        <sz val="8"/>
        <color theme="1"/>
        <rFont val="Garamond"/>
        <family val="1"/>
      </rPr>
      <t>y</t>
    </r>
    <r>
      <rPr>
        <b/>
        <sz val="8"/>
        <color theme="1"/>
        <rFont val="Garamond"/>
        <family val="1"/>
      </rPr>
      <t>)*(1-sqrt(1-4.6*M</t>
    </r>
    <r>
      <rPr>
        <b/>
        <vertAlign val="subscript"/>
        <sz val="8"/>
        <color theme="1"/>
        <rFont val="Garamond"/>
        <family val="1"/>
      </rPr>
      <t>u</t>
    </r>
    <r>
      <rPr>
        <b/>
        <sz val="8"/>
        <color theme="1"/>
        <rFont val="Garamond"/>
        <family val="1"/>
      </rPr>
      <t>/f</t>
    </r>
    <r>
      <rPr>
        <b/>
        <vertAlign val="subscript"/>
        <sz val="8"/>
        <color theme="1"/>
        <rFont val="Garamond"/>
        <family val="1"/>
      </rPr>
      <t>ck</t>
    </r>
    <r>
      <rPr>
        <b/>
        <sz val="8"/>
        <color theme="1"/>
        <rFont val="Garamond"/>
        <family val="1"/>
      </rPr>
      <t>*b*d</t>
    </r>
    <r>
      <rPr>
        <b/>
        <vertAlign val="superscript"/>
        <sz val="8"/>
        <color theme="1"/>
        <rFont val="Garamond"/>
        <family val="1"/>
      </rPr>
      <t>2</t>
    </r>
    <r>
      <rPr>
        <b/>
        <sz val="8"/>
        <color theme="1"/>
        <rFont val="Garamond"/>
        <family val="1"/>
      </rPr>
      <t>))*b*d</t>
    </r>
  </si>
  <si>
    <t>Provided</t>
  </si>
  <si>
    <t>Shear</t>
  </si>
  <si>
    <t>K</t>
  </si>
  <si>
    <r>
      <t>V</t>
    </r>
    <r>
      <rPr>
        <vertAlign val="subscript"/>
        <sz val="11"/>
        <color theme="1"/>
        <rFont val="Garamond"/>
        <family val="1"/>
      </rPr>
      <t>rdc</t>
    </r>
  </si>
  <si>
    <t>Shear resistance</t>
  </si>
  <si>
    <t>Percenetage of reinforcement</t>
  </si>
  <si>
    <r>
      <rPr>
        <sz val="11"/>
        <color theme="1"/>
        <rFont val="Symbol"/>
        <family val="1"/>
        <charset val="2"/>
      </rPr>
      <t>r</t>
    </r>
    <r>
      <rPr>
        <vertAlign val="subscript"/>
        <sz val="11"/>
        <color theme="1"/>
        <rFont val="Garamond"/>
        <family val="1"/>
      </rPr>
      <t>1</t>
    </r>
  </si>
  <si>
    <t>=Min (1+sqrt(200/d),2.0)</t>
  </si>
  <si>
    <t>Coefficient</t>
  </si>
  <si>
    <r>
      <t>V</t>
    </r>
    <r>
      <rPr>
        <vertAlign val="subscript"/>
        <sz val="11"/>
        <color theme="1"/>
        <rFont val="Garamond"/>
        <family val="1"/>
      </rPr>
      <t>min</t>
    </r>
    <r>
      <rPr>
        <sz val="11"/>
        <color theme="1"/>
        <rFont val="Garamond"/>
        <family val="1"/>
      </rPr>
      <t>1</t>
    </r>
  </si>
  <si>
    <r>
      <t>V</t>
    </r>
    <r>
      <rPr>
        <vertAlign val="subscript"/>
        <sz val="11"/>
        <color theme="1"/>
        <rFont val="Garamond"/>
        <family val="1"/>
      </rPr>
      <t>min</t>
    </r>
    <r>
      <rPr>
        <sz val="11"/>
        <color theme="1"/>
        <rFont val="Garamond"/>
        <family val="1"/>
      </rPr>
      <t>2</t>
    </r>
  </si>
  <si>
    <r>
      <t>=0.12*k*(80*p</t>
    </r>
    <r>
      <rPr>
        <vertAlign val="subscript"/>
        <sz val="11"/>
        <color theme="1"/>
        <rFont val="Garamond"/>
        <family val="1"/>
      </rPr>
      <t>1</t>
    </r>
    <r>
      <rPr>
        <sz val="11"/>
        <color theme="1"/>
        <rFont val="Garamond"/>
        <family val="1"/>
      </rPr>
      <t>*fck)</t>
    </r>
    <r>
      <rPr>
        <vertAlign val="superscript"/>
        <sz val="11"/>
        <color theme="1"/>
        <rFont val="Garamond"/>
        <family val="1"/>
      </rPr>
      <t>0.33</t>
    </r>
  </si>
  <si>
    <r>
      <t>=0.031*k</t>
    </r>
    <r>
      <rPr>
        <vertAlign val="superscript"/>
        <sz val="10"/>
        <color theme="1"/>
        <rFont val="Garamond"/>
        <family val="1"/>
      </rPr>
      <t>(3/2)</t>
    </r>
    <r>
      <rPr>
        <sz val="10"/>
        <color theme="1"/>
        <rFont val="Garamond"/>
        <family val="1"/>
      </rPr>
      <t>*</t>
    </r>
    <r>
      <rPr>
        <sz val="11"/>
        <color theme="1"/>
        <rFont val="Garamond"/>
        <family val="1"/>
      </rPr>
      <t>fck</t>
    </r>
    <r>
      <rPr>
        <vertAlign val="superscript"/>
        <sz val="11"/>
        <color theme="1"/>
        <rFont val="Garamond"/>
        <family val="1"/>
      </rPr>
      <t>(1/2)</t>
    </r>
  </si>
  <si>
    <t>%</t>
  </si>
  <si>
    <r>
      <t>=Sqrt (Mu/0.1336*f</t>
    </r>
    <r>
      <rPr>
        <vertAlign val="subscript"/>
        <sz val="10"/>
        <color theme="1"/>
        <rFont val="Garamond"/>
        <family val="1"/>
      </rPr>
      <t>ck</t>
    </r>
    <r>
      <rPr>
        <sz val="10"/>
        <color theme="1"/>
        <rFont val="Garamond"/>
        <family val="1"/>
      </rPr>
      <t>*b</t>
    </r>
    <r>
      <rPr>
        <vertAlign val="subscript"/>
        <sz val="10"/>
        <color theme="1"/>
        <rFont val="Garamond"/>
        <family val="1"/>
      </rPr>
      <t>t</t>
    </r>
    <r>
      <rPr>
        <sz val="10"/>
        <color theme="1"/>
        <rFont val="Garamond"/>
        <family val="1"/>
      </rPr>
      <t>)</t>
    </r>
  </si>
  <si>
    <t>h</t>
  </si>
  <si>
    <t>Check</t>
  </si>
  <si>
    <t>As per IRC 112:2011, clause 10.3.2</t>
  </si>
  <si>
    <r>
      <t>=(A</t>
    </r>
    <r>
      <rPr>
        <vertAlign val="subscript"/>
        <sz val="10"/>
        <color theme="1"/>
        <rFont val="Garamond"/>
        <family val="1"/>
      </rPr>
      <t>st</t>
    </r>
    <r>
      <rPr>
        <sz val="10"/>
        <color theme="1"/>
        <rFont val="Garamond"/>
        <family val="1"/>
      </rPr>
      <t>/b</t>
    </r>
    <r>
      <rPr>
        <vertAlign val="subscript"/>
        <sz val="10"/>
        <color theme="1"/>
        <rFont val="Garamond"/>
        <family val="1"/>
      </rPr>
      <t>t</t>
    </r>
    <r>
      <rPr>
        <sz val="10"/>
        <color theme="1"/>
        <rFont val="Garamond"/>
        <family val="1"/>
      </rPr>
      <t xml:space="preserve">*d) </t>
    </r>
    <r>
      <rPr>
        <sz val="10"/>
        <color theme="1"/>
        <rFont val="Calibri"/>
        <family val="2"/>
      </rPr>
      <t xml:space="preserve">≤ </t>
    </r>
    <r>
      <rPr>
        <sz val="10"/>
        <color theme="1"/>
        <rFont val="Garamond"/>
        <family val="1"/>
      </rPr>
      <t>0.02</t>
    </r>
  </si>
  <si>
    <t>Category</t>
  </si>
  <si>
    <t>P-1: Normal Containment</t>
  </si>
  <si>
    <t>Application</t>
  </si>
  <si>
    <t>Bridges carrying expressway, or equivalent</t>
  </si>
  <si>
    <t>Containment for</t>
  </si>
  <si>
    <t>Minimum moment of resistance</t>
  </si>
  <si>
    <t>Minimum transverse shear</t>
  </si>
  <si>
    <t>Speed to acceleration system is considered</t>
  </si>
  <si>
    <t>As per cluase no. 206.6, table 9 &amp; 10 of IRC 6:2017</t>
  </si>
  <si>
    <t>N/mm2</t>
  </si>
  <si>
    <r>
      <t>=(Min(V</t>
    </r>
    <r>
      <rPr>
        <vertAlign val="subscript"/>
        <sz val="11"/>
        <color theme="1"/>
        <rFont val="Garamond"/>
        <family val="1"/>
      </rPr>
      <t>Min</t>
    </r>
    <r>
      <rPr>
        <sz val="11"/>
        <color theme="1"/>
        <rFont val="Garamond"/>
        <family val="1"/>
      </rPr>
      <t>1,V</t>
    </r>
    <r>
      <rPr>
        <vertAlign val="subscript"/>
        <sz val="11"/>
        <color theme="1"/>
        <rFont val="Garamond"/>
        <family val="1"/>
      </rPr>
      <t>Min</t>
    </r>
    <r>
      <rPr>
        <sz val="11"/>
        <color theme="1"/>
        <rFont val="Garamond"/>
        <family val="1"/>
      </rPr>
      <t>2)+0.15</t>
    </r>
    <r>
      <rPr>
        <sz val="11"/>
        <color theme="1"/>
        <rFont val="Symbol"/>
        <family val="1"/>
        <charset val="2"/>
      </rPr>
      <t>s</t>
    </r>
    <r>
      <rPr>
        <vertAlign val="subscript"/>
        <sz val="11"/>
        <color theme="1"/>
        <rFont val="Garamond"/>
        <family val="1"/>
      </rPr>
      <t>cp</t>
    </r>
    <r>
      <rPr>
        <sz val="11"/>
        <color theme="1"/>
        <rFont val="Garamond"/>
        <family val="1"/>
      </rPr>
      <t>)b</t>
    </r>
    <r>
      <rPr>
        <vertAlign val="subscript"/>
        <sz val="11"/>
        <color theme="1"/>
        <rFont val="Garamond"/>
        <family val="1"/>
      </rPr>
      <t>t</t>
    </r>
    <r>
      <rPr>
        <sz val="11"/>
        <color theme="1"/>
        <rFont val="Garamond"/>
        <family val="1"/>
      </rPr>
      <t>*d</t>
    </r>
  </si>
  <si>
    <r>
      <t>=0.0013*b</t>
    </r>
    <r>
      <rPr>
        <vertAlign val="subscript"/>
        <sz val="10"/>
        <color theme="1"/>
        <rFont val="Garamond"/>
        <family val="1"/>
      </rPr>
      <t>t</t>
    </r>
    <r>
      <rPr>
        <sz val="10"/>
        <color theme="1"/>
        <rFont val="Garamond"/>
        <family val="1"/>
      </rPr>
      <t xml:space="preserve">*d </t>
    </r>
    <r>
      <rPr>
        <b/>
        <sz val="10"/>
        <color theme="1"/>
        <rFont val="Garamond"/>
        <family val="1"/>
      </rPr>
      <t>or</t>
    </r>
    <r>
      <rPr>
        <sz val="10"/>
        <color theme="1"/>
        <rFont val="Garamond"/>
        <family val="1"/>
      </rPr>
      <t xml:space="preserve"> 0.26*f</t>
    </r>
    <r>
      <rPr>
        <vertAlign val="subscript"/>
        <sz val="10"/>
        <color theme="1"/>
        <rFont val="Garamond"/>
        <family val="1"/>
      </rPr>
      <t>ctm</t>
    </r>
    <r>
      <rPr>
        <sz val="10"/>
        <color theme="1"/>
        <rFont val="Garamond"/>
        <family val="1"/>
      </rPr>
      <t>*b</t>
    </r>
    <r>
      <rPr>
        <vertAlign val="subscript"/>
        <sz val="10"/>
        <color theme="1"/>
        <rFont val="Garamond"/>
        <family val="1"/>
      </rPr>
      <t>t</t>
    </r>
    <r>
      <rPr>
        <sz val="10"/>
        <color theme="1"/>
        <rFont val="Garamond"/>
        <family val="1"/>
      </rPr>
      <t>*d/f</t>
    </r>
    <r>
      <rPr>
        <vertAlign val="subscript"/>
        <sz val="10"/>
        <color theme="1"/>
        <rFont val="Garamond"/>
        <family val="1"/>
      </rPr>
      <t>y</t>
    </r>
  </si>
  <si>
    <t>Garde of concrete</t>
  </si>
  <si>
    <t>Length of slab</t>
  </si>
  <si>
    <t>Depth of slab</t>
  </si>
  <si>
    <t>Density of concrete</t>
  </si>
  <si>
    <t>Height of crash barrier</t>
  </si>
  <si>
    <t>Bottom width of crash barrier</t>
  </si>
  <si>
    <t>C/S area of crash barrier</t>
  </si>
  <si>
    <t>Wearing coat</t>
  </si>
  <si>
    <t>Toe width of slab</t>
  </si>
  <si>
    <t>Bracket of RE wall</t>
  </si>
  <si>
    <r>
      <t>t/m</t>
    </r>
    <r>
      <rPr>
        <vertAlign val="superscript"/>
        <sz val="11"/>
        <color theme="1"/>
        <rFont val="Garamond"/>
        <family val="1"/>
      </rPr>
      <t>3</t>
    </r>
  </si>
  <si>
    <t>Thickness of wearing coat/PQC</t>
  </si>
  <si>
    <r>
      <t>m</t>
    </r>
    <r>
      <rPr>
        <vertAlign val="superscript"/>
        <sz val="11"/>
        <color theme="1"/>
        <rFont val="Garamond"/>
        <family val="1"/>
      </rPr>
      <t>2</t>
    </r>
  </si>
  <si>
    <t>Sr. No.</t>
  </si>
  <si>
    <t>Item</t>
  </si>
  <si>
    <t>Accidental load</t>
  </si>
  <si>
    <t>Crash barrier</t>
  </si>
  <si>
    <t>Friction slab</t>
  </si>
  <si>
    <t>Uniform block</t>
  </si>
  <si>
    <t>Density of wearing coat</t>
  </si>
  <si>
    <t>Load (t/m)</t>
  </si>
  <si>
    <t>Lever arm</t>
  </si>
  <si>
    <t>d</t>
  </si>
  <si>
    <t>Check for Overturning</t>
  </si>
  <si>
    <t>Horizontal forces</t>
  </si>
  <si>
    <t>Moment due to horizontal force</t>
  </si>
  <si>
    <t>Check for Sliding</t>
  </si>
  <si>
    <t>u</t>
  </si>
  <si>
    <t>Coeficient of friction</t>
  </si>
  <si>
    <t>y</t>
  </si>
  <si>
    <t>yc</t>
  </si>
  <si>
    <t>L</t>
  </si>
  <si>
    <r>
      <t>F</t>
    </r>
    <r>
      <rPr>
        <vertAlign val="subscript"/>
        <sz val="11"/>
        <color theme="1"/>
        <rFont val="Garamond"/>
        <family val="1"/>
      </rPr>
      <t>H</t>
    </r>
  </si>
  <si>
    <r>
      <t>M</t>
    </r>
    <r>
      <rPr>
        <vertAlign val="subscript"/>
        <sz val="11"/>
        <color theme="1"/>
        <rFont val="Garamond"/>
        <family val="1"/>
      </rPr>
      <t>H</t>
    </r>
  </si>
  <si>
    <r>
      <t>M</t>
    </r>
    <r>
      <rPr>
        <b/>
        <vertAlign val="subscript"/>
        <sz val="11"/>
        <color theme="1"/>
        <rFont val="Garamond"/>
        <family val="1"/>
      </rPr>
      <t xml:space="preserve">V </t>
    </r>
    <r>
      <rPr>
        <b/>
        <sz val="11"/>
        <color theme="1"/>
        <rFont val="Garamond"/>
        <family val="1"/>
      </rPr>
      <t>(t.m/m)</t>
    </r>
  </si>
  <si>
    <t>Total</t>
  </si>
  <si>
    <t>Clear cover to reinforcement</t>
  </si>
  <si>
    <t>t.m/m</t>
  </si>
  <si>
    <r>
      <t>BM</t>
    </r>
    <r>
      <rPr>
        <vertAlign val="subscript"/>
        <sz val="11"/>
        <color theme="1"/>
        <rFont val="Garamond"/>
        <family val="1"/>
      </rPr>
      <t>u</t>
    </r>
  </si>
  <si>
    <r>
      <t>=(0.5*f</t>
    </r>
    <r>
      <rPr>
        <vertAlign val="subscript"/>
        <sz val="8"/>
        <color theme="1"/>
        <rFont val="Garamond"/>
        <family val="1"/>
      </rPr>
      <t>ck</t>
    </r>
    <r>
      <rPr>
        <sz val="8"/>
        <color theme="1"/>
        <rFont val="Garamond"/>
        <family val="1"/>
      </rPr>
      <t>/f</t>
    </r>
    <r>
      <rPr>
        <vertAlign val="subscript"/>
        <sz val="8"/>
        <color theme="1"/>
        <rFont val="Garamond"/>
        <family val="1"/>
      </rPr>
      <t>y</t>
    </r>
    <r>
      <rPr>
        <sz val="8"/>
        <color theme="1"/>
        <rFont val="Garamond"/>
        <family val="1"/>
      </rPr>
      <t>)*(1-sqrt(1-4.6*M</t>
    </r>
    <r>
      <rPr>
        <vertAlign val="subscript"/>
        <sz val="8"/>
        <color theme="1"/>
        <rFont val="Garamond"/>
        <family val="1"/>
      </rPr>
      <t>u</t>
    </r>
    <r>
      <rPr>
        <sz val="8"/>
        <color theme="1"/>
        <rFont val="Garamond"/>
        <family val="1"/>
      </rPr>
      <t>/f</t>
    </r>
    <r>
      <rPr>
        <vertAlign val="subscript"/>
        <sz val="8"/>
        <color theme="1"/>
        <rFont val="Garamond"/>
        <family val="1"/>
      </rPr>
      <t>ck</t>
    </r>
    <r>
      <rPr>
        <sz val="8"/>
        <color theme="1"/>
        <rFont val="Garamond"/>
        <family val="1"/>
      </rPr>
      <t>*b*d</t>
    </r>
    <r>
      <rPr>
        <vertAlign val="superscript"/>
        <sz val="8"/>
        <color theme="1"/>
        <rFont val="Garamond"/>
        <family val="1"/>
      </rPr>
      <t>2</t>
    </r>
    <r>
      <rPr>
        <sz val="8"/>
        <color theme="1"/>
        <rFont val="Garamond"/>
        <family val="1"/>
      </rPr>
      <t>))*b*d</t>
    </r>
  </si>
  <si>
    <r>
      <t xml:space="preserve">Distribution reinforcement, </t>
    </r>
    <r>
      <rPr>
        <sz val="9"/>
        <color theme="1"/>
        <rFont val="Garamond"/>
        <family val="1"/>
      </rPr>
      <t>50% of Ast(Provi.)</t>
    </r>
  </si>
  <si>
    <t>Area of distribution reinforcement provided</t>
  </si>
  <si>
    <t>Calculation</t>
  </si>
  <si>
    <t>Units</t>
  </si>
  <si>
    <t>Detailed Design of Friction Slab</t>
  </si>
  <si>
    <t>Reinforcement Calculation for Friction Slab :-</t>
  </si>
  <si>
    <t>Bar :-</t>
  </si>
  <si>
    <t>Design of RCC Crash Barrier</t>
  </si>
  <si>
    <r>
      <t>15 kN vehicle at 110 km/h, and 20</t>
    </r>
    <r>
      <rPr>
        <b/>
        <vertAlign val="superscript"/>
        <sz val="11"/>
        <color rgb="FFFF0000"/>
        <rFont val="Garamond"/>
        <family val="1"/>
      </rPr>
      <t>o</t>
    </r>
    <r>
      <rPr>
        <b/>
        <sz val="11"/>
        <color rgb="FFFF0000"/>
        <rFont val="Garamond"/>
        <family val="1"/>
      </rPr>
      <t xml:space="preserve"> angle of impact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</si>
</sst>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0.0"/>
    <numFmt numFmtId="165" formatCode="0.000"/>
    <numFmt numFmtId="166" formatCode="0&quot; +&quot;"/>
    <numFmt numFmtId="167" formatCode="0&quot; @&quot;"/>
    <numFmt numFmtId="168" formatCode="0&quot; c/c&quot;"/>
    <numFmt numFmtId="169" formatCode="0&quot;T +&quot;"/>
    <numFmt numFmtId="170" formatCode="0&quot;T @&quot;"/>
    <numFmt numFmtId="171" formatCode="&quot;=&quot;0&quot;^2&quot;"/>
    <numFmt numFmtId="172" formatCode="&quot;/&quot;0&quot;^2&quot;"/>
    <numFmt numFmtId="173" formatCode="&quot;= &quot;0.000"/>
    <numFmt numFmtId="174" formatCode="0.00&quot; tm/m&quot;"/>
    <numFmt numFmtId="175" formatCode="0.00&quot; t/m&quot;"/>
    <numFmt numFmtId="176" formatCode="&quot;M&quot;0"/>
    <numFmt numFmtId="177" formatCode="&quot;Fe&quot;0"/>
    <numFmt numFmtId="178" formatCode="0.0&quot; &gt;&quot;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sz val="10"/>
      <color theme="1"/>
      <name val="Garamond"/>
      <family val="1"/>
    </font>
    <font>
      <vertAlign val="subscript"/>
      <sz val="11"/>
      <color theme="1"/>
      <name val="Garamond"/>
      <family val="1"/>
    </font>
    <font>
      <sz val="11"/>
      <color rgb="FFFF0000"/>
      <name val="Garamond"/>
      <family val="1"/>
    </font>
    <font>
      <b/>
      <sz val="11"/>
      <color rgb="FFFF0000"/>
      <name val="Garamond"/>
      <family val="1"/>
    </font>
    <font>
      <b/>
      <sz val="11"/>
      <color theme="1"/>
      <name val="Garamond"/>
      <family val="1"/>
    </font>
    <font>
      <b/>
      <i/>
      <sz val="10"/>
      <color theme="1"/>
      <name val="Garamond"/>
      <family val="1"/>
    </font>
    <font>
      <vertAlign val="subscript"/>
      <sz val="10"/>
      <color theme="1"/>
      <name val="Garamond"/>
      <family val="1"/>
    </font>
    <font>
      <b/>
      <sz val="10"/>
      <color theme="1"/>
      <name val="Garamond"/>
      <family val="1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1"/>
      <name val="Garamond"/>
      <family val="1"/>
    </font>
    <font>
      <b/>
      <vertAlign val="subscript"/>
      <sz val="10"/>
      <color theme="1"/>
      <name val="Garamond"/>
      <family val="1"/>
    </font>
    <font>
      <b/>
      <sz val="8"/>
      <color theme="1"/>
      <name val="Garamond"/>
      <family val="1"/>
    </font>
    <font>
      <b/>
      <vertAlign val="subscript"/>
      <sz val="8"/>
      <color theme="1"/>
      <name val="Garamond"/>
      <family val="1"/>
    </font>
    <font>
      <b/>
      <vertAlign val="superscript"/>
      <sz val="8"/>
      <color theme="1"/>
      <name val="Garamond"/>
      <family val="1"/>
    </font>
    <font>
      <b/>
      <sz val="10"/>
      <color theme="1"/>
      <name val="Arial"/>
      <family val="2"/>
    </font>
    <font>
      <sz val="11"/>
      <color theme="1"/>
      <name val="Symbol"/>
      <family val="1"/>
      <charset val="2"/>
    </font>
    <font>
      <vertAlign val="superscript"/>
      <sz val="11"/>
      <color theme="1"/>
      <name val="Garamond"/>
      <family val="1"/>
    </font>
    <font>
      <vertAlign val="superscript"/>
      <sz val="10"/>
      <color theme="1"/>
      <name val="Garamond"/>
      <family val="1"/>
    </font>
    <font>
      <sz val="10"/>
      <color theme="1"/>
      <name val="Calibri"/>
      <family val="2"/>
    </font>
    <font>
      <b/>
      <sz val="11"/>
      <name val="Garamond"/>
      <family val="1"/>
    </font>
    <font>
      <b/>
      <u/>
      <sz val="18"/>
      <color rgb="FFFF0000"/>
      <name val="Arial"/>
      <family val="2"/>
    </font>
    <font>
      <sz val="10"/>
      <color rgb="FFFF0000"/>
      <name val="Garamond"/>
      <family val="1"/>
    </font>
    <font>
      <sz val="10"/>
      <name val="Garamond"/>
      <family val="1"/>
    </font>
    <font>
      <b/>
      <vertAlign val="subscript"/>
      <sz val="11"/>
      <color theme="1"/>
      <name val="Garamond"/>
      <family val="1"/>
    </font>
    <font>
      <sz val="8"/>
      <color theme="1"/>
      <name val="Garamond"/>
      <family val="1"/>
    </font>
    <font>
      <sz val="9"/>
      <color theme="1"/>
      <name val="Garamond"/>
      <family val="1"/>
    </font>
    <font>
      <vertAlign val="subscript"/>
      <sz val="8"/>
      <color theme="1"/>
      <name val="Garamond"/>
      <family val="1"/>
    </font>
    <font>
      <vertAlign val="superscript"/>
      <sz val="8"/>
      <color theme="1"/>
      <name val="Garamond"/>
      <family val="1"/>
    </font>
    <font>
      <b/>
      <sz val="12"/>
      <color theme="1"/>
      <name val="Garamond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11"/>
      <color rgb="FFFF000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auto="1"/>
      </left>
      <right/>
      <top style="slantDashDot">
        <color auto="1"/>
      </top>
      <bottom/>
      <diagonal/>
    </border>
    <border>
      <left/>
      <right style="slantDashDot">
        <color auto="1"/>
      </right>
      <top style="slantDashDot">
        <color auto="1"/>
      </top>
      <bottom/>
      <diagonal/>
    </border>
    <border>
      <left style="slantDashDot">
        <color auto="1"/>
      </left>
      <right/>
      <top/>
      <bottom/>
      <diagonal/>
    </border>
    <border>
      <left/>
      <right style="slantDashDot">
        <color auto="1"/>
      </right>
      <top/>
      <bottom/>
      <diagonal/>
    </border>
    <border>
      <left style="slantDashDot">
        <color auto="1"/>
      </left>
      <right/>
      <top/>
      <bottom style="slantDashDot">
        <color auto="1"/>
      </bottom>
      <diagonal/>
    </border>
    <border>
      <left/>
      <right style="slantDashDot">
        <color auto="1"/>
      </right>
      <top/>
      <bottom style="slantDashDot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 style="double">
        <color indexed="64"/>
      </top>
      <bottom style="thin">
        <color auto="1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double">
        <color auto="1"/>
      </right>
      <top style="double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2" fillId="0" borderId="0" xfId="0" applyFont="1"/>
    <xf numFmtId="0" fontId="12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0" fontId="0" fillId="0" borderId="0" xfId="0" applyBorder="1" applyAlignment="1"/>
    <xf numFmtId="0" fontId="2" fillId="0" borderId="0" xfId="0" applyFont="1" applyBorder="1"/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2" fontId="11" fillId="0" borderId="0" xfId="0" applyNumberFormat="1" applyFont="1" applyBorder="1" applyAlignment="1">
      <alignment vertical="center"/>
    </xf>
    <xf numFmtId="2" fontId="12" fillId="0" borderId="0" xfId="0" applyNumberFormat="1" applyFont="1" applyBorder="1" applyAlignment="1">
      <alignment vertical="center"/>
    </xf>
    <xf numFmtId="2" fontId="11" fillId="0" borderId="0" xfId="0" applyNumberFormat="1" applyFont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165" fontId="2" fillId="0" borderId="0" xfId="0" applyNumberFormat="1" applyFont="1"/>
    <xf numFmtId="0" fontId="2" fillId="0" borderId="26" xfId="0" applyFont="1" applyBorder="1"/>
    <xf numFmtId="0" fontId="2" fillId="0" borderId="25" xfId="0" applyFont="1" applyBorder="1"/>
    <xf numFmtId="0" fontId="2" fillId="0" borderId="29" xfId="0" applyFont="1" applyBorder="1"/>
    <xf numFmtId="0" fontId="24" fillId="0" borderId="0" xfId="0" applyFont="1" applyAlignment="1"/>
    <xf numFmtId="0" fontId="2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6" fillId="3" borderId="0" xfId="0" applyFont="1" applyFill="1" applyProtection="1">
      <protection locked="0"/>
    </xf>
    <xf numFmtId="165" fontId="6" fillId="3" borderId="0" xfId="0" applyNumberFormat="1" applyFont="1" applyFill="1" applyProtection="1">
      <protection locked="0"/>
    </xf>
    <xf numFmtId="0" fontId="6" fillId="3" borderId="0" xfId="0" applyFont="1" applyFill="1" applyAlignment="1" applyProtection="1">
      <alignment horizontal="left"/>
      <protection locked="0"/>
    </xf>
    <xf numFmtId="0" fontId="5" fillId="3" borderId="0" xfId="0" applyFont="1" applyFill="1" applyProtection="1">
      <protection locked="0"/>
    </xf>
    <xf numFmtId="0" fontId="2" fillId="3" borderId="0" xfId="0" applyFont="1" applyFill="1" applyProtection="1">
      <protection locked="0"/>
    </xf>
    <xf numFmtId="174" fontId="6" fillId="3" borderId="0" xfId="0" applyNumberFormat="1" applyFont="1" applyFill="1" applyAlignment="1" applyProtection="1">
      <alignment horizontal="left"/>
      <protection locked="0"/>
    </xf>
    <xf numFmtId="175" fontId="6" fillId="3" borderId="0" xfId="0" applyNumberFormat="1" applyFont="1" applyFill="1" applyAlignment="1" applyProtection="1">
      <alignment horizontal="left"/>
      <protection locked="0"/>
    </xf>
    <xf numFmtId="171" fontId="6" fillId="3" borderId="0" xfId="0" applyNumberFormat="1" applyFont="1" applyFill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165" fontId="6" fillId="3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quotePrefix="1" applyFont="1" applyProtection="1">
      <protection locked="0"/>
    </xf>
    <xf numFmtId="0" fontId="7" fillId="0" borderId="0" xfId="0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center"/>
      <protection locked="0"/>
    </xf>
    <xf numFmtId="165" fontId="2" fillId="0" borderId="5" xfId="0" applyNumberFormat="1" applyFont="1" applyBorder="1" applyAlignment="1" applyProtection="1">
      <alignment horizontal="center" vertical="center"/>
      <protection locked="0"/>
    </xf>
    <xf numFmtId="169" fontId="6" fillId="3" borderId="0" xfId="0" applyNumberFormat="1" applyFont="1" applyFill="1" applyProtection="1">
      <protection locked="0"/>
    </xf>
    <xf numFmtId="170" fontId="6" fillId="3" borderId="0" xfId="0" quotePrefix="1" applyNumberFormat="1" applyFont="1" applyFill="1" applyAlignment="1" applyProtection="1">
      <alignment horizontal="center"/>
      <protection locked="0"/>
    </xf>
    <xf numFmtId="168" fontId="6" fillId="3" borderId="0" xfId="0" applyNumberFormat="1" applyFont="1" applyFill="1" applyProtection="1">
      <protection locked="0"/>
    </xf>
    <xf numFmtId="169" fontId="23" fillId="0" borderId="0" xfId="0" applyNumberFormat="1" applyFont="1" applyProtection="1">
      <protection locked="0"/>
    </xf>
    <xf numFmtId="170" fontId="23" fillId="0" borderId="0" xfId="0" quotePrefix="1" applyNumberFormat="1" applyFont="1" applyAlignment="1" applyProtection="1">
      <alignment horizontal="center"/>
      <protection locked="0"/>
    </xf>
    <xf numFmtId="168" fontId="23" fillId="0" borderId="0" xfId="0" applyNumberFormat="1" applyFont="1" applyProtection="1">
      <protection locked="0"/>
    </xf>
    <xf numFmtId="166" fontId="6" fillId="0" borderId="0" xfId="0" applyNumberFormat="1" applyFont="1" applyProtection="1">
      <protection locked="0"/>
    </xf>
    <xf numFmtId="167" fontId="6" fillId="0" borderId="0" xfId="0" quotePrefix="1" applyNumberFormat="1" applyFont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165" fontId="13" fillId="0" borderId="3" xfId="0" applyNumberFormat="1" applyFont="1" applyBorder="1" applyAlignment="1" applyProtection="1">
      <alignment horizontal="center" vertical="center"/>
      <protection hidden="1"/>
    </xf>
    <xf numFmtId="165" fontId="2" fillId="0" borderId="3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165" fontId="2" fillId="0" borderId="5" xfId="0" applyNumberFormat="1" applyFont="1" applyBorder="1" applyAlignment="1" applyProtection="1">
      <alignment horizontal="center" vertical="center"/>
      <protection hidden="1"/>
    </xf>
    <xf numFmtId="165" fontId="2" fillId="0" borderId="8" xfId="0" applyNumberFormat="1" applyFont="1" applyBorder="1" applyAlignment="1" applyProtection="1">
      <alignment horizontal="center" vertical="center"/>
      <protection hidden="1"/>
    </xf>
    <xf numFmtId="165" fontId="13" fillId="0" borderId="5" xfId="0" applyNumberFormat="1" applyFont="1" applyBorder="1" applyAlignment="1" applyProtection="1">
      <alignment horizontal="center" vertical="center"/>
      <protection hidden="1"/>
    </xf>
    <xf numFmtId="172" fontId="23" fillId="0" borderId="0" xfId="0" applyNumberFormat="1" applyFont="1" applyAlignment="1" applyProtection="1">
      <alignment horizontal="center"/>
      <protection hidden="1"/>
    </xf>
    <xf numFmtId="173" fontId="2" fillId="0" borderId="0" xfId="0" applyNumberFormat="1" applyFont="1" applyAlignment="1" applyProtection="1">
      <alignment horizontal="left"/>
      <protection hidden="1"/>
    </xf>
    <xf numFmtId="0" fontId="7" fillId="0" borderId="0" xfId="0" applyFont="1" applyProtection="1">
      <protection hidden="1"/>
    </xf>
    <xf numFmtId="176" fontId="5" fillId="3" borderId="0" xfId="0" applyNumberFormat="1" applyFont="1" applyFill="1" applyAlignment="1" applyProtection="1">
      <alignment horizontal="right"/>
      <protection locked="0"/>
    </xf>
    <xf numFmtId="177" fontId="5" fillId="3" borderId="0" xfId="0" applyNumberFormat="1" applyFont="1" applyFill="1" applyAlignment="1" applyProtection="1">
      <alignment horizontal="right"/>
      <protection locked="0"/>
    </xf>
    <xf numFmtId="165" fontId="13" fillId="0" borderId="0" xfId="0" applyNumberFormat="1" applyFont="1" applyProtection="1">
      <protection locked="0"/>
    </xf>
    <xf numFmtId="165" fontId="5" fillId="3" borderId="0" xfId="0" applyNumberFormat="1" applyFont="1" applyFill="1" applyProtection="1">
      <protection locked="0"/>
    </xf>
    <xf numFmtId="165" fontId="2" fillId="0" borderId="0" xfId="0" applyNumberFormat="1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165" fontId="7" fillId="0" borderId="1" xfId="0" applyNumberFormat="1" applyFont="1" applyBorder="1" applyAlignment="1" applyProtection="1">
      <alignment horizontal="center"/>
      <protection locked="0"/>
    </xf>
    <xf numFmtId="0" fontId="32" fillId="0" borderId="0" xfId="0" applyFont="1" applyProtection="1">
      <protection locked="0"/>
    </xf>
    <xf numFmtId="0" fontId="7" fillId="0" borderId="9" xfId="0" applyFont="1" applyBorder="1" applyAlignment="1" applyProtection="1">
      <alignment horizontal="center"/>
      <protection locked="0"/>
    </xf>
    <xf numFmtId="165" fontId="7" fillId="0" borderId="9" xfId="0" applyNumberFormat="1" applyFont="1" applyBorder="1" applyAlignment="1" applyProtection="1">
      <alignment horizontal="center" vertical="center"/>
      <protection locked="0"/>
    </xf>
    <xf numFmtId="0" fontId="2" fillId="0" borderId="22" xfId="0" applyFont="1" applyBorder="1" applyProtection="1">
      <protection locked="0"/>
    </xf>
    <xf numFmtId="0" fontId="2" fillId="0" borderId="26" xfId="0" applyFont="1" applyBorder="1" applyProtection="1"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2" fillId="0" borderId="33" xfId="0" applyFont="1" applyBorder="1" applyProtection="1">
      <protection locked="0"/>
    </xf>
    <xf numFmtId="0" fontId="2" fillId="0" borderId="34" xfId="0" applyFont="1" applyBorder="1" applyProtection="1">
      <protection locked="0"/>
    </xf>
    <xf numFmtId="0" fontId="2" fillId="0" borderId="35" xfId="0" applyFont="1" applyBorder="1" applyAlignment="1" applyProtection="1">
      <alignment horizontal="right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23" xfId="0" applyFont="1" applyBorder="1" applyProtection="1">
      <protection locked="0"/>
    </xf>
    <xf numFmtId="0" fontId="3" fillId="0" borderId="0" xfId="0" quotePrefix="1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2" fillId="0" borderId="25" xfId="0" applyFont="1" applyBorder="1" applyProtection="1">
      <protection locked="0"/>
    </xf>
    <xf numFmtId="0" fontId="7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2" fillId="0" borderId="7" xfId="0" applyFont="1" applyBorder="1" applyAlignment="1" applyProtection="1">
      <alignment horizontal="right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2" xfId="0" applyFont="1" applyBorder="1" applyProtection="1">
      <protection locked="0"/>
    </xf>
    <xf numFmtId="0" fontId="7" fillId="0" borderId="3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165" fontId="2" fillId="0" borderId="32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Protection="1">
      <protection locked="0"/>
    </xf>
    <xf numFmtId="165" fontId="28" fillId="0" borderId="0" xfId="0" applyNumberFormat="1" applyFont="1" applyBorder="1" applyAlignment="1" applyProtection="1">
      <alignment vertical="center"/>
      <protection locked="0"/>
    </xf>
    <xf numFmtId="165" fontId="28" fillId="0" borderId="25" xfId="0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right"/>
      <protection locked="0"/>
    </xf>
    <xf numFmtId="0" fontId="2" fillId="0" borderId="7" xfId="0" applyFont="1" applyBorder="1" applyProtection="1">
      <protection locked="0"/>
    </xf>
    <xf numFmtId="0" fontId="8" fillId="0" borderId="6" xfId="0" applyFont="1" applyBorder="1" applyProtection="1">
      <protection locked="0"/>
    </xf>
    <xf numFmtId="165" fontId="10" fillId="0" borderId="3" xfId="0" applyNumberFormat="1" applyFont="1" applyBorder="1" applyAlignment="1" applyProtection="1">
      <alignment vertical="center"/>
      <protection locked="0"/>
    </xf>
    <xf numFmtId="0" fontId="7" fillId="0" borderId="24" xfId="0" applyFont="1" applyBorder="1" applyAlignment="1" applyProtection="1">
      <alignment horizontal="center"/>
      <protection locked="0"/>
    </xf>
    <xf numFmtId="0" fontId="2" fillId="0" borderId="27" xfId="0" applyFont="1" applyBorder="1" applyProtection="1">
      <protection locked="0"/>
    </xf>
    <xf numFmtId="0" fontId="2" fillId="0" borderId="28" xfId="0" applyFont="1" applyBorder="1" applyProtection="1">
      <protection locked="0"/>
    </xf>
    <xf numFmtId="0" fontId="2" fillId="0" borderId="29" xfId="0" applyFont="1" applyBorder="1" applyProtection="1">
      <protection locked="0"/>
    </xf>
    <xf numFmtId="0" fontId="2" fillId="0" borderId="24" xfId="0" applyFont="1" applyBorder="1" applyAlignment="1" applyProtection="1">
      <alignment horizontal="center"/>
      <protection locked="0"/>
    </xf>
    <xf numFmtId="0" fontId="2" fillId="0" borderId="24" xfId="0" applyFont="1" applyBorder="1" applyProtection="1">
      <protection locked="0"/>
    </xf>
    <xf numFmtId="0" fontId="7" fillId="0" borderId="28" xfId="0" applyFont="1" applyBorder="1" applyAlignment="1" applyProtection="1">
      <alignment horizontal="right"/>
      <protection locked="0"/>
    </xf>
    <xf numFmtId="165" fontId="5" fillId="3" borderId="0" xfId="0" applyNumberFormat="1" applyFont="1" applyFill="1" applyAlignment="1" applyProtection="1">
      <alignment horizontal="left"/>
      <protection locked="0"/>
    </xf>
    <xf numFmtId="165" fontId="5" fillId="3" borderId="0" xfId="0" applyNumberFormat="1" applyFont="1" applyFill="1" applyAlignment="1" applyProtection="1">
      <alignment horizontal="left" vertical="top"/>
      <protection locked="0"/>
    </xf>
    <xf numFmtId="165" fontId="25" fillId="3" borderId="0" xfId="0" applyNumberFormat="1" applyFont="1" applyFill="1" applyAlignment="1" applyProtection="1">
      <alignment vertical="top"/>
      <protection locked="0"/>
    </xf>
    <xf numFmtId="165" fontId="5" fillId="3" borderId="0" xfId="0" applyNumberFormat="1" applyFont="1" applyFill="1" applyAlignment="1" applyProtection="1">
      <alignment horizontal="center"/>
      <protection locked="0"/>
    </xf>
    <xf numFmtId="165" fontId="5" fillId="3" borderId="1" xfId="0" applyNumberFormat="1" applyFont="1" applyFill="1" applyBorder="1" applyAlignment="1" applyProtection="1">
      <alignment horizontal="center"/>
      <protection locked="0"/>
    </xf>
    <xf numFmtId="169" fontId="6" fillId="3" borderId="0" xfId="0" applyNumberFormat="1" applyFont="1" applyFill="1" applyBorder="1" applyProtection="1">
      <protection locked="0"/>
    </xf>
    <xf numFmtId="170" fontId="6" fillId="3" borderId="0" xfId="0" quotePrefix="1" applyNumberFormat="1" applyFont="1" applyFill="1" applyBorder="1" applyAlignment="1" applyProtection="1">
      <alignment horizontal="center"/>
      <protection locked="0"/>
    </xf>
    <xf numFmtId="168" fontId="6" fillId="3" borderId="25" xfId="0" applyNumberFormat="1" applyFont="1" applyFill="1" applyBorder="1" applyProtection="1">
      <protection locked="0"/>
    </xf>
    <xf numFmtId="169" fontId="6" fillId="3" borderId="28" xfId="0" applyNumberFormat="1" applyFont="1" applyFill="1" applyBorder="1" applyProtection="1">
      <protection locked="0"/>
    </xf>
    <xf numFmtId="170" fontId="6" fillId="3" borderId="28" xfId="0" quotePrefix="1" applyNumberFormat="1" applyFont="1" applyFill="1" applyBorder="1" applyAlignment="1" applyProtection="1">
      <alignment horizontal="center"/>
      <protection locked="0"/>
    </xf>
    <xf numFmtId="168" fontId="6" fillId="3" borderId="29" xfId="0" applyNumberFormat="1" applyFont="1" applyFill="1" applyBorder="1" applyProtection="1">
      <protection locked="0"/>
    </xf>
    <xf numFmtId="165" fontId="13" fillId="0" borderId="0" xfId="0" applyNumberFormat="1" applyFont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horizontal="right"/>
      <protection hidden="1"/>
    </xf>
    <xf numFmtId="0" fontId="26" fillId="0" borderId="0" xfId="0" applyFont="1" applyAlignment="1" applyProtection="1">
      <alignment horizontal="left"/>
      <protection hidden="1"/>
    </xf>
    <xf numFmtId="165" fontId="2" fillId="0" borderId="0" xfId="0" applyNumberFormat="1" applyFont="1" applyAlignment="1" applyProtection="1">
      <alignment horizontal="left"/>
      <protection hidden="1"/>
    </xf>
    <xf numFmtId="2" fontId="2" fillId="0" borderId="0" xfId="0" applyNumberFormat="1" applyFont="1" applyProtection="1">
      <protection hidden="1"/>
    </xf>
    <xf numFmtId="165" fontId="2" fillId="0" borderId="1" xfId="0" applyNumberFormat="1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165" fontId="2" fillId="2" borderId="1" xfId="0" applyNumberFormat="1" applyFont="1" applyFill="1" applyBorder="1" applyAlignment="1" applyProtection="1">
      <alignment horizontal="center"/>
      <protection hidden="1"/>
    </xf>
    <xf numFmtId="165" fontId="7" fillId="0" borderId="1" xfId="0" applyNumberFormat="1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left"/>
      <protection hidden="1"/>
    </xf>
    <xf numFmtId="0" fontId="2" fillId="0" borderId="18" xfId="0" applyFont="1" applyBorder="1" applyProtection="1">
      <protection hidden="1"/>
    </xf>
    <xf numFmtId="178" fontId="7" fillId="0" borderId="17" xfId="0" applyNumberFormat="1" applyFont="1" applyBorder="1" applyAlignment="1" applyProtection="1">
      <alignment horizontal="right"/>
      <protection hidden="1"/>
    </xf>
    <xf numFmtId="164" fontId="7" fillId="0" borderId="18" xfId="0" applyNumberFormat="1" applyFont="1" applyBorder="1" applyAlignment="1" applyProtection="1">
      <alignment horizontal="left"/>
      <protection hidden="1"/>
    </xf>
    <xf numFmtId="0" fontId="2" fillId="0" borderId="17" xfId="0" applyFont="1" applyBorder="1" applyProtection="1">
      <protection hidden="1"/>
    </xf>
    <xf numFmtId="165" fontId="2" fillId="0" borderId="2" xfId="0" applyNumberFormat="1" applyFont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165" fontId="2" fillId="0" borderId="24" xfId="0" applyNumberFormat="1" applyFont="1" applyBorder="1" applyAlignment="1" applyProtection="1">
      <alignment horizontal="center" vertical="center"/>
      <protection hidden="1"/>
    </xf>
    <xf numFmtId="0" fontId="6" fillId="0" borderId="5" xfId="0" applyFont="1" applyBorder="1" applyAlignment="1" applyProtection="1">
      <alignment horizontal="center" vertical="center"/>
      <protection hidden="1"/>
    </xf>
    <xf numFmtId="0" fontId="24" fillId="0" borderId="0" xfId="0" applyFont="1" applyAlignment="1" applyProtection="1">
      <alignment horizontal="center"/>
      <protection locked="0"/>
    </xf>
    <xf numFmtId="165" fontId="7" fillId="0" borderId="6" xfId="0" applyNumberFormat="1" applyFont="1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center" vertical="center"/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/>
    </xf>
    <xf numFmtId="165" fontId="10" fillId="0" borderId="10" xfId="0" applyNumberFormat="1" applyFont="1" applyBorder="1" applyAlignment="1" applyProtection="1">
      <alignment horizontal="center" vertical="center"/>
      <protection hidden="1"/>
    </xf>
    <xf numFmtId="165" fontId="10" fillId="0" borderId="11" xfId="0" applyNumberFormat="1" applyFont="1" applyBorder="1" applyAlignment="1" applyProtection="1">
      <alignment horizontal="center" vertical="center"/>
      <protection hidden="1"/>
    </xf>
    <xf numFmtId="165" fontId="10" fillId="0" borderId="12" xfId="0" applyNumberFormat="1" applyFont="1" applyBorder="1" applyAlignment="1" applyProtection="1">
      <alignment horizontal="center" vertical="center"/>
      <protection hidden="1"/>
    </xf>
    <xf numFmtId="165" fontId="15" fillId="0" borderId="6" xfId="0" quotePrefix="1" applyNumberFormat="1" applyFont="1" applyBorder="1" applyAlignment="1" applyProtection="1">
      <alignment horizontal="center" vertical="center"/>
      <protection hidden="1"/>
    </xf>
    <xf numFmtId="165" fontId="15" fillId="0" borderId="4" xfId="0" applyNumberFormat="1" applyFont="1" applyBorder="1" applyAlignment="1" applyProtection="1">
      <alignment horizontal="center" vertical="center"/>
      <protection hidden="1"/>
    </xf>
    <xf numFmtId="165" fontId="15" fillId="0" borderId="7" xfId="0" applyNumberFormat="1" applyFont="1" applyBorder="1" applyAlignment="1" applyProtection="1">
      <alignment horizontal="center" vertical="center"/>
      <protection hidden="1"/>
    </xf>
    <xf numFmtId="165" fontId="2" fillId="0" borderId="6" xfId="0" quotePrefix="1" applyNumberFormat="1" applyFont="1" applyBorder="1" applyAlignment="1" applyProtection="1">
      <alignment horizontal="center" vertical="center"/>
      <protection hidden="1"/>
    </xf>
    <xf numFmtId="165" fontId="2" fillId="0" borderId="4" xfId="0" applyNumberFormat="1" applyFont="1" applyBorder="1" applyAlignment="1" applyProtection="1">
      <alignment horizontal="center" vertical="center"/>
      <protection hidden="1"/>
    </xf>
    <xf numFmtId="165" fontId="2" fillId="0" borderId="7" xfId="0" applyNumberFormat="1" applyFont="1" applyBorder="1" applyAlignment="1" applyProtection="1">
      <alignment horizontal="center" vertical="center"/>
      <protection hidden="1"/>
    </xf>
    <xf numFmtId="0" fontId="6" fillId="0" borderId="23" xfId="0" applyFont="1" applyBorder="1" applyAlignment="1" applyProtection="1">
      <alignment horizontal="center" vertical="center"/>
      <protection hidden="1"/>
    </xf>
    <xf numFmtId="0" fontId="6" fillId="0" borderId="5" xfId="0" applyFont="1" applyBorder="1" applyAlignment="1" applyProtection="1">
      <alignment horizontal="center" vertical="center"/>
      <protection hidden="1"/>
    </xf>
    <xf numFmtId="0" fontId="6" fillId="0" borderId="32" xfId="0" applyFont="1" applyBorder="1" applyAlignment="1" applyProtection="1">
      <alignment horizontal="center" vertical="center"/>
      <protection hidden="1"/>
    </xf>
    <xf numFmtId="0" fontId="6" fillId="0" borderId="24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/>
      <protection locked="0"/>
    </xf>
    <xf numFmtId="0" fontId="7" fillId="0" borderId="30" xfId="0" applyFont="1" applyBorder="1" applyAlignment="1" applyProtection="1">
      <alignment horizontal="center"/>
      <protection locked="0"/>
    </xf>
    <xf numFmtId="0" fontId="7" fillId="0" borderId="31" xfId="0" applyFont="1" applyBorder="1" applyAlignment="1" applyProtection="1">
      <alignment horizontal="center"/>
      <protection locked="0"/>
    </xf>
    <xf numFmtId="0" fontId="2" fillId="0" borderId="13" xfId="0" applyFont="1" applyBorder="1" applyAlignment="1" applyProtection="1">
      <alignment horizontal="left"/>
      <protection locked="0"/>
    </xf>
    <xf numFmtId="0" fontId="2" fillId="0" borderId="14" xfId="0" applyFont="1" applyBorder="1" applyAlignment="1" applyProtection="1">
      <alignment horizontal="left"/>
      <protection locked="0"/>
    </xf>
    <xf numFmtId="0" fontId="7" fillId="0" borderId="13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15" xfId="0" applyFont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123825</xdr:colOff>
      <xdr:row>5</xdr:row>
      <xdr:rowOff>161925</xdr:rowOff>
    </xdr:from>
    <xdr:to>
      <xdr:col>11</xdr:col>
      <xdr:colOff>142875</xdr:colOff>
      <xdr:row>18</xdr:row>
      <xdr:rowOff>75893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81625" y="1219200"/>
          <a:ext cx="1619250" cy="24571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7</xdr:row>
      <xdr:rowOff>180975</xdr:rowOff>
    </xdr:from>
    <xdr:to>
      <xdr:col>13</xdr:col>
      <xdr:colOff>12000</xdr:colOff>
      <xdr:row>23</xdr:row>
      <xdr:rowOff>0</xdr:rowOff>
    </xdr:to>
    <xdr:grpSp>
      <xdr:nvGrpSpPr>
        <xdr:cNvPr id="78" name="Group 77"/>
        <xdr:cNvGrpSpPr/>
      </xdr:nvGrpSpPr>
      <xdr:grpSpPr>
        <a:xfrm>
          <a:off x="4600575" y="1577975"/>
          <a:ext cx="3793425" cy="2936875"/>
          <a:chOff x="4333875" y="752475"/>
          <a:chExt cx="3602925" cy="2952750"/>
        </a:xfrm>
      </xdr:grpSpPr>
      <xdr:grpSp>
        <xdr:nvGrpSpPr>
          <xdr:cNvPr id="74" name="Group 73"/>
          <xdr:cNvGrpSpPr/>
        </xdr:nvGrpSpPr>
        <xdr:grpSpPr>
          <a:xfrm>
            <a:off x="4333875" y="752475"/>
            <a:ext cx="3602925" cy="2952750"/>
            <a:chOff x="4333875" y="752475"/>
            <a:chExt cx="3602925" cy="2867025"/>
          </a:xfrm>
        </xdr:grpSpPr>
        <xdr:cxnSp macro="">
          <xdr:nvCxnSpPr>
            <xdr:cNvPr id="67" name="Straight Arrow Connector 66"/>
            <xdr:cNvCxnSpPr/>
          </xdr:nvCxnSpPr>
          <xdr:spPr>
            <a:xfrm>
              <a:off x="4524375" y="2476500"/>
              <a:ext cx="936000" cy="0"/>
            </a:xfrm>
            <a:prstGeom prst="straightConnector1">
              <a:avLst/>
            </a:prstGeom>
            <a:ln w="3175">
              <a:headEnd type="triangle" w="med" len="med"/>
              <a:tailEnd type="triangle" w="med" len="med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grpSp>
          <xdr:nvGrpSpPr>
            <xdr:cNvPr id="73" name="Group 72"/>
            <xdr:cNvGrpSpPr/>
          </xdr:nvGrpSpPr>
          <xdr:grpSpPr>
            <a:xfrm>
              <a:off x="4333875" y="752475"/>
              <a:ext cx="3602925" cy="2867025"/>
              <a:chOff x="4333875" y="752475"/>
              <a:chExt cx="3602925" cy="2867025"/>
            </a:xfrm>
          </xdr:grpSpPr>
          <xdr:grpSp>
            <xdr:nvGrpSpPr>
              <xdr:cNvPr id="66" name="Group 65"/>
              <xdr:cNvGrpSpPr/>
            </xdr:nvGrpSpPr>
            <xdr:grpSpPr>
              <a:xfrm>
                <a:off x="4333875" y="752475"/>
                <a:ext cx="3602925" cy="2543175"/>
                <a:chOff x="4333875" y="752475"/>
                <a:chExt cx="3602925" cy="2543175"/>
              </a:xfrm>
            </xdr:grpSpPr>
            <xdr:grpSp>
              <xdr:nvGrpSpPr>
                <xdr:cNvPr id="52" name="Group 51"/>
                <xdr:cNvGrpSpPr/>
              </xdr:nvGrpSpPr>
              <xdr:grpSpPr>
                <a:xfrm>
                  <a:off x="4333875" y="885825"/>
                  <a:ext cx="3602925" cy="2409825"/>
                  <a:chOff x="4333875" y="885825"/>
                  <a:chExt cx="3602925" cy="2409825"/>
                </a:xfrm>
              </xdr:grpSpPr>
              <xdr:grpSp>
                <xdr:nvGrpSpPr>
                  <xdr:cNvPr id="30" name="Group 29"/>
                  <xdr:cNvGrpSpPr/>
                </xdr:nvGrpSpPr>
                <xdr:grpSpPr>
                  <a:xfrm>
                    <a:off x="4362450" y="942975"/>
                    <a:ext cx="3571950" cy="2299050"/>
                    <a:chOff x="8020050" y="942975"/>
                    <a:chExt cx="3571950" cy="2299050"/>
                  </a:xfrm>
                </xdr:grpSpPr>
                <xdr:cxnSp macro="">
                  <xdr:nvCxnSpPr>
                    <xdr:cNvPr id="3" name="Straight Connector 2"/>
                    <xdr:cNvCxnSpPr/>
                  </xdr:nvCxnSpPr>
                  <xdr:spPr>
                    <a:xfrm>
                      <a:off x="8324850" y="942975"/>
                      <a:ext cx="432000" cy="0"/>
                    </a:xfrm>
                    <a:prstGeom prst="line">
                      <a:avLst/>
                    </a:prstGeom>
                    <a:ln w="3175"/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5" name="Straight Connector 4"/>
                    <xdr:cNvCxnSpPr/>
                  </xdr:nvCxnSpPr>
                  <xdr:spPr>
                    <a:xfrm flipH="1">
                      <a:off x="8172450" y="952500"/>
                      <a:ext cx="152400" cy="1533525"/>
                    </a:xfrm>
                    <a:prstGeom prst="line">
                      <a:avLst/>
                    </a:prstGeom>
                    <a:ln w="3175"/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8" name="Straight Connector 7"/>
                    <xdr:cNvCxnSpPr/>
                  </xdr:nvCxnSpPr>
                  <xdr:spPr>
                    <a:xfrm>
                      <a:off x="8743950" y="952500"/>
                      <a:ext cx="85725" cy="790575"/>
                    </a:xfrm>
                    <a:prstGeom prst="line">
                      <a:avLst/>
                    </a:prstGeom>
                    <a:ln w="3175"/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11" name="Straight Connector 10"/>
                    <xdr:cNvCxnSpPr/>
                  </xdr:nvCxnSpPr>
                  <xdr:spPr>
                    <a:xfrm>
                      <a:off x="8839200" y="1743075"/>
                      <a:ext cx="295275" cy="371475"/>
                    </a:xfrm>
                    <a:prstGeom prst="line">
                      <a:avLst/>
                    </a:prstGeom>
                    <a:ln w="3175"/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14" name="Straight Connector 13"/>
                    <xdr:cNvCxnSpPr/>
                  </xdr:nvCxnSpPr>
                  <xdr:spPr>
                    <a:xfrm>
                      <a:off x="9134475" y="2114550"/>
                      <a:ext cx="0" cy="361950"/>
                    </a:xfrm>
                    <a:prstGeom prst="line">
                      <a:avLst/>
                    </a:prstGeom>
                    <a:ln w="3175"/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17" name="Straight Connector 16"/>
                    <xdr:cNvCxnSpPr/>
                  </xdr:nvCxnSpPr>
                  <xdr:spPr>
                    <a:xfrm>
                      <a:off x="8020050" y="2486025"/>
                      <a:ext cx="144000" cy="0"/>
                    </a:xfrm>
                    <a:prstGeom prst="line">
                      <a:avLst/>
                    </a:prstGeom>
                    <a:ln w="3175"/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18" name="Straight Connector 17"/>
                    <xdr:cNvCxnSpPr/>
                  </xdr:nvCxnSpPr>
                  <xdr:spPr>
                    <a:xfrm flipH="1">
                      <a:off x="8020050" y="2486025"/>
                      <a:ext cx="0" cy="756000"/>
                    </a:xfrm>
                    <a:prstGeom prst="line">
                      <a:avLst/>
                    </a:prstGeom>
                    <a:ln w="3175"/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20" name="Straight Connector 19"/>
                    <xdr:cNvCxnSpPr/>
                  </xdr:nvCxnSpPr>
                  <xdr:spPr>
                    <a:xfrm>
                      <a:off x="9144000" y="2476500"/>
                      <a:ext cx="2448000" cy="0"/>
                    </a:xfrm>
                    <a:prstGeom prst="line">
                      <a:avLst/>
                    </a:prstGeom>
                    <a:ln w="3175"/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22" name="Straight Connector 21"/>
                    <xdr:cNvCxnSpPr/>
                  </xdr:nvCxnSpPr>
                  <xdr:spPr>
                    <a:xfrm flipH="1">
                      <a:off x="11582400" y="2486025"/>
                      <a:ext cx="0" cy="756000"/>
                    </a:xfrm>
                    <a:prstGeom prst="line">
                      <a:avLst/>
                    </a:prstGeom>
                    <a:ln w="3175"/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23" name="Straight Connector 22"/>
                    <xdr:cNvCxnSpPr/>
                  </xdr:nvCxnSpPr>
                  <xdr:spPr>
                    <a:xfrm>
                      <a:off x="8029575" y="3238500"/>
                      <a:ext cx="144000" cy="0"/>
                    </a:xfrm>
                    <a:prstGeom prst="line">
                      <a:avLst/>
                    </a:prstGeom>
                    <a:ln w="3175"/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24" name="Straight Connector 23"/>
                    <xdr:cNvCxnSpPr/>
                  </xdr:nvCxnSpPr>
                  <xdr:spPr>
                    <a:xfrm flipH="1">
                      <a:off x="8172450" y="2867025"/>
                      <a:ext cx="0" cy="360000"/>
                    </a:xfrm>
                    <a:prstGeom prst="line">
                      <a:avLst/>
                    </a:prstGeom>
                    <a:ln w="3175"/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25" name="Straight Connector 24"/>
                    <xdr:cNvCxnSpPr/>
                  </xdr:nvCxnSpPr>
                  <xdr:spPr>
                    <a:xfrm flipH="1">
                      <a:off x="8534400" y="2876550"/>
                      <a:ext cx="0" cy="360000"/>
                    </a:xfrm>
                    <a:prstGeom prst="line">
                      <a:avLst/>
                    </a:prstGeom>
                    <a:ln w="3175"/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26" name="Straight Connector 25"/>
                    <xdr:cNvCxnSpPr/>
                  </xdr:nvCxnSpPr>
                  <xdr:spPr>
                    <a:xfrm>
                      <a:off x="8181975" y="2857500"/>
                      <a:ext cx="360000" cy="0"/>
                    </a:xfrm>
                    <a:prstGeom prst="line">
                      <a:avLst/>
                    </a:prstGeom>
                    <a:ln w="3175"/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27" name="Straight Connector 26"/>
                    <xdr:cNvCxnSpPr/>
                  </xdr:nvCxnSpPr>
                  <xdr:spPr>
                    <a:xfrm>
                      <a:off x="8543925" y="3238500"/>
                      <a:ext cx="3024000" cy="0"/>
                    </a:xfrm>
                    <a:prstGeom prst="line">
                      <a:avLst/>
                    </a:prstGeom>
                    <a:ln w="3175"/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28" name="Straight Connector 27"/>
                    <xdr:cNvCxnSpPr/>
                  </xdr:nvCxnSpPr>
                  <xdr:spPr>
                    <a:xfrm>
                      <a:off x="9372600" y="2476500"/>
                      <a:ext cx="295275" cy="371475"/>
                    </a:xfrm>
                    <a:prstGeom prst="line">
                      <a:avLst/>
                    </a:prstGeom>
                    <a:ln w="3175"/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29" name="Straight Connector 28"/>
                    <xdr:cNvCxnSpPr/>
                  </xdr:nvCxnSpPr>
                  <xdr:spPr>
                    <a:xfrm>
                      <a:off x="9677400" y="2847975"/>
                      <a:ext cx="1908000" cy="0"/>
                    </a:xfrm>
                    <a:prstGeom prst="line">
                      <a:avLst/>
                    </a:prstGeom>
                    <a:ln w="3175"/>
                  </xdr:spPr>
                  <xdr:style>
                    <a:lnRef idx="1">
                      <a:schemeClr val="dk1"/>
                    </a:lnRef>
                    <a:fillRef idx="0">
                      <a:schemeClr val="dk1"/>
                    </a:fillRef>
                    <a:effectRef idx="0">
                      <a:schemeClr val="dk1"/>
                    </a:effectRef>
                    <a:fontRef idx="minor">
                      <a:schemeClr val="tx1"/>
                    </a:fontRef>
                  </xdr:style>
                </xdr:cxnSp>
              </xdr:grpSp>
              <xdr:grpSp>
                <xdr:nvGrpSpPr>
                  <xdr:cNvPr id="51" name="Group 50"/>
                  <xdr:cNvGrpSpPr/>
                </xdr:nvGrpSpPr>
                <xdr:grpSpPr>
                  <a:xfrm>
                    <a:off x="4333875" y="885825"/>
                    <a:ext cx="3602925" cy="2409825"/>
                    <a:chOff x="4333875" y="885825"/>
                    <a:chExt cx="3602925" cy="2409825"/>
                  </a:xfrm>
                </xdr:grpSpPr>
                <xdr:cxnSp macro="">
                  <xdr:nvCxnSpPr>
                    <xdr:cNvPr id="43" name="Straight Arrow Connector 42"/>
                    <xdr:cNvCxnSpPr/>
                  </xdr:nvCxnSpPr>
                  <xdr:spPr>
                    <a:xfrm>
                      <a:off x="5486400" y="2562225"/>
                      <a:ext cx="252000" cy="0"/>
                    </a:xfrm>
                    <a:prstGeom prst="straightConnector1">
                      <a:avLst/>
                    </a:prstGeom>
                    <a:ln w="3175">
                      <a:headEnd type="triangle" w="med" len="med"/>
                      <a:tailEnd type="triangle" w="med" len="med"/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  <xdr:grpSp>
                  <xdr:nvGrpSpPr>
                    <xdr:cNvPr id="50" name="Group 49"/>
                    <xdr:cNvGrpSpPr/>
                  </xdr:nvGrpSpPr>
                  <xdr:grpSpPr>
                    <a:xfrm>
                      <a:off x="4333875" y="885825"/>
                      <a:ext cx="3602925" cy="2409825"/>
                      <a:chOff x="4333875" y="885825"/>
                      <a:chExt cx="3602925" cy="2409825"/>
                    </a:xfrm>
                  </xdr:grpSpPr>
                  <xdr:grpSp>
                    <xdr:nvGrpSpPr>
                      <xdr:cNvPr id="42" name="Group 41"/>
                      <xdr:cNvGrpSpPr/>
                    </xdr:nvGrpSpPr>
                    <xdr:grpSpPr>
                      <a:xfrm>
                        <a:off x="4476750" y="885825"/>
                        <a:ext cx="1047750" cy="1605675"/>
                        <a:chOff x="4476750" y="885825"/>
                        <a:chExt cx="1047750" cy="1605675"/>
                      </a:xfrm>
                    </xdr:grpSpPr>
                    <xdr:cxnSp macro="">
                      <xdr:nvCxnSpPr>
                        <xdr:cNvPr id="32" name="Straight Arrow Connector 31"/>
                        <xdr:cNvCxnSpPr/>
                      </xdr:nvCxnSpPr>
                      <xdr:spPr>
                        <a:xfrm>
                          <a:off x="4648200" y="885825"/>
                          <a:ext cx="457200" cy="0"/>
                        </a:xfrm>
                        <a:prstGeom prst="straightConnector1">
                          <a:avLst/>
                        </a:prstGeom>
                        <a:ln w="3175">
                          <a:headEnd type="triangle" w="med" len="med"/>
                          <a:tailEnd type="triangle" w="med" len="med"/>
                        </a:ln>
                      </xdr:spPr>
                      <xdr:style>
                        <a:lnRef idx="1">
                          <a:schemeClr val="accent1"/>
                        </a:lnRef>
                        <a:fillRef idx="0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tx1"/>
                        </a:fontRef>
                      </xdr:style>
                    </xdr:cxnSp>
                    <xdr:cxnSp macro="">
                      <xdr:nvCxnSpPr>
                        <xdr:cNvPr id="33" name="Straight Arrow Connector 32"/>
                        <xdr:cNvCxnSpPr/>
                      </xdr:nvCxnSpPr>
                      <xdr:spPr>
                        <a:xfrm>
                          <a:off x="4476750" y="885825"/>
                          <a:ext cx="180000" cy="0"/>
                        </a:xfrm>
                        <a:prstGeom prst="straightConnector1">
                          <a:avLst/>
                        </a:prstGeom>
                        <a:ln w="3175">
                          <a:headEnd type="triangle" w="med" len="med"/>
                          <a:tailEnd type="triangle" w="med" len="med"/>
                        </a:ln>
                      </xdr:spPr>
                      <xdr:style>
                        <a:lnRef idx="1">
                          <a:schemeClr val="accent1"/>
                        </a:lnRef>
                        <a:fillRef idx="0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tx1"/>
                        </a:fontRef>
                      </xdr:style>
                    </xdr:cxnSp>
                    <xdr:cxnSp macro="">
                      <xdr:nvCxnSpPr>
                        <xdr:cNvPr id="35" name="Straight Arrow Connector 34"/>
                        <xdr:cNvCxnSpPr/>
                      </xdr:nvCxnSpPr>
                      <xdr:spPr>
                        <a:xfrm>
                          <a:off x="5076825" y="885825"/>
                          <a:ext cx="180000" cy="0"/>
                        </a:xfrm>
                        <a:prstGeom prst="straightConnector1">
                          <a:avLst/>
                        </a:prstGeom>
                        <a:ln w="3175">
                          <a:headEnd type="triangle" w="med" len="med"/>
                          <a:tailEnd type="triangle" w="med" len="med"/>
                        </a:ln>
                      </xdr:spPr>
                      <xdr:style>
                        <a:lnRef idx="1">
                          <a:schemeClr val="accent1"/>
                        </a:lnRef>
                        <a:fillRef idx="0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tx1"/>
                        </a:fontRef>
                      </xdr:style>
                    </xdr:cxnSp>
                    <xdr:cxnSp macro="">
                      <xdr:nvCxnSpPr>
                        <xdr:cNvPr id="36" name="Straight Arrow Connector 35"/>
                        <xdr:cNvCxnSpPr/>
                      </xdr:nvCxnSpPr>
                      <xdr:spPr>
                        <a:xfrm>
                          <a:off x="5248275" y="885825"/>
                          <a:ext cx="252000" cy="0"/>
                        </a:xfrm>
                        <a:prstGeom prst="straightConnector1">
                          <a:avLst/>
                        </a:prstGeom>
                        <a:ln w="3175">
                          <a:headEnd type="triangle" w="med" len="med"/>
                          <a:tailEnd type="triangle" w="med" len="med"/>
                        </a:ln>
                      </xdr:spPr>
                      <xdr:style>
                        <a:lnRef idx="1">
                          <a:schemeClr val="accent1"/>
                        </a:lnRef>
                        <a:fillRef idx="0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tx1"/>
                        </a:fontRef>
                      </xdr:style>
                    </xdr:cxnSp>
                    <xdr:cxnSp macro="">
                      <xdr:nvCxnSpPr>
                        <xdr:cNvPr id="37" name="Straight Arrow Connector 36"/>
                        <xdr:cNvCxnSpPr/>
                      </xdr:nvCxnSpPr>
                      <xdr:spPr>
                        <a:xfrm flipH="1">
                          <a:off x="5524499" y="942975"/>
                          <a:ext cx="0" cy="792000"/>
                        </a:xfrm>
                        <a:prstGeom prst="straightConnector1">
                          <a:avLst/>
                        </a:prstGeom>
                        <a:ln w="3175">
                          <a:headEnd type="triangle" w="med" len="med"/>
                          <a:tailEnd type="triangle" w="med" len="med"/>
                        </a:ln>
                      </xdr:spPr>
                      <xdr:style>
                        <a:lnRef idx="1">
                          <a:schemeClr val="accent1"/>
                        </a:lnRef>
                        <a:fillRef idx="0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tx1"/>
                        </a:fontRef>
                      </xdr:style>
                    </xdr:cxnSp>
                    <xdr:cxnSp macro="">
                      <xdr:nvCxnSpPr>
                        <xdr:cNvPr id="39" name="Straight Arrow Connector 38"/>
                        <xdr:cNvCxnSpPr/>
                      </xdr:nvCxnSpPr>
                      <xdr:spPr>
                        <a:xfrm flipH="1">
                          <a:off x="5524500" y="1714500"/>
                          <a:ext cx="0" cy="396000"/>
                        </a:xfrm>
                        <a:prstGeom prst="straightConnector1">
                          <a:avLst/>
                        </a:prstGeom>
                        <a:ln w="3175">
                          <a:headEnd type="triangle" w="med" len="med"/>
                          <a:tailEnd type="triangle" w="med" len="med"/>
                        </a:ln>
                      </xdr:spPr>
                      <xdr:style>
                        <a:lnRef idx="1">
                          <a:schemeClr val="accent1"/>
                        </a:lnRef>
                        <a:fillRef idx="0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tx1"/>
                        </a:fontRef>
                      </xdr:style>
                    </xdr:cxnSp>
                    <xdr:cxnSp macro="">
                      <xdr:nvCxnSpPr>
                        <xdr:cNvPr id="41" name="Straight Arrow Connector 40"/>
                        <xdr:cNvCxnSpPr/>
                      </xdr:nvCxnSpPr>
                      <xdr:spPr>
                        <a:xfrm flipH="1">
                          <a:off x="5524500" y="2095500"/>
                          <a:ext cx="0" cy="396000"/>
                        </a:xfrm>
                        <a:prstGeom prst="straightConnector1">
                          <a:avLst/>
                        </a:prstGeom>
                        <a:ln w="3175">
                          <a:headEnd type="triangle" w="med" len="med"/>
                          <a:tailEnd type="triangle" w="med" len="med"/>
                        </a:ln>
                      </xdr:spPr>
                      <xdr:style>
                        <a:lnRef idx="1">
                          <a:schemeClr val="accent1"/>
                        </a:lnRef>
                        <a:fillRef idx="0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tx1"/>
                        </a:fontRef>
                      </xdr:style>
                    </xdr:cxnSp>
                  </xdr:grpSp>
                  <xdr:cxnSp macro="">
                    <xdr:nvCxnSpPr>
                      <xdr:cNvPr id="44" name="Straight Arrow Connector 43"/>
                      <xdr:cNvCxnSpPr/>
                    </xdr:nvCxnSpPr>
                    <xdr:spPr>
                      <a:xfrm flipH="1">
                        <a:off x="7848600" y="2476500"/>
                        <a:ext cx="0" cy="396000"/>
                      </a:xfrm>
                      <a:prstGeom prst="straightConnector1">
                        <a:avLst/>
                      </a:prstGeom>
                      <a:ln w="3175">
                        <a:headEnd type="triangle" w="med" len="med"/>
                        <a:tailEnd type="triangle" w="med" len="med"/>
                      </a:ln>
                    </xdr:spPr>
                    <xdr:style>
                      <a:lnRef idx="1">
                        <a:schemeClr val="accent1"/>
                      </a:lnRef>
                      <a:fillRef idx="0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tx1"/>
                      </a:fontRef>
                    </xdr:style>
                  </xdr:cxnSp>
                  <xdr:cxnSp macro="">
                    <xdr:nvCxnSpPr>
                      <xdr:cNvPr id="45" name="Straight Arrow Connector 44"/>
                      <xdr:cNvCxnSpPr/>
                    </xdr:nvCxnSpPr>
                    <xdr:spPr>
                      <a:xfrm flipH="1">
                        <a:off x="7848600" y="2857500"/>
                        <a:ext cx="0" cy="396000"/>
                      </a:xfrm>
                      <a:prstGeom prst="straightConnector1">
                        <a:avLst/>
                      </a:prstGeom>
                      <a:ln w="3175">
                        <a:headEnd type="triangle" w="med" len="med"/>
                        <a:tailEnd type="triangle" w="med" len="med"/>
                      </a:ln>
                    </xdr:spPr>
                    <xdr:style>
                      <a:lnRef idx="1">
                        <a:schemeClr val="accent1"/>
                      </a:lnRef>
                      <a:fillRef idx="0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tx1"/>
                      </a:fontRef>
                    </xdr:style>
                  </xdr:cxnSp>
                  <xdr:cxnSp macro="">
                    <xdr:nvCxnSpPr>
                      <xdr:cNvPr id="47" name="Straight Arrow Connector 46"/>
                      <xdr:cNvCxnSpPr/>
                    </xdr:nvCxnSpPr>
                    <xdr:spPr>
                      <a:xfrm>
                        <a:off x="4333875" y="3295650"/>
                        <a:ext cx="180000" cy="0"/>
                      </a:xfrm>
                      <a:prstGeom prst="straightConnector1">
                        <a:avLst/>
                      </a:prstGeom>
                      <a:ln w="3175">
                        <a:headEnd type="triangle" w="med" len="med"/>
                        <a:tailEnd type="triangle" w="med" len="med"/>
                      </a:ln>
                    </xdr:spPr>
                    <xdr:style>
                      <a:lnRef idx="1">
                        <a:schemeClr val="accent1"/>
                      </a:lnRef>
                      <a:fillRef idx="0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tx1"/>
                      </a:fontRef>
                    </xdr:style>
                  </xdr:cxnSp>
                  <xdr:cxnSp macro="">
                    <xdr:nvCxnSpPr>
                      <xdr:cNvPr id="48" name="Straight Arrow Connector 47"/>
                      <xdr:cNvCxnSpPr/>
                    </xdr:nvCxnSpPr>
                    <xdr:spPr>
                      <a:xfrm>
                        <a:off x="4533900" y="2828925"/>
                        <a:ext cx="360000" cy="0"/>
                      </a:xfrm>
                      <a:prstGeom prst="straightConnector1">
                        <a:avLst/>
                      </a:prstGeom>
                      <a:ln w="3175">
                        <a:headEnd type="triangle" w="med" len="med"/>
                        <a:tailEnd type="triangle" w="med" len="med"/>
                      </a:ln>
                    </xdr:spPr>
                    <xdr:style>
                      <a:lnRef idx="1">
                        <a:schemeClr val="accent1"/>
                      </a:lnRef>
                      <a:fillRef idx="0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tx1"/>
                      </a:fontRef>
                    </xdr:style>
                  </xdr:cxnSp>
                  <xdr:cxnSp macro="">
                    <xdr:nvCxnSpPr>
                      <xdr:cNvPr id="49" name="Straight Arrow Connector 48"/>
                      <xdr:cNvCxnSpPr/>
                    </xdr:nvCxnSpPr>
                    <xdr:spPr>
                      <a:xfrm>
                        <a:off x="4876800" y="3286125"/>
                        <a:ext cx="3060000" cy="0"/>
                      </a:xfrm>
                      <a:prstGeom prst="straightConnector1">
                        <a:avLst/>
                      </a:prstGeom>
                      <a:ln w="3175">
                        <a:headEnd type="triangle" w="med" len="med"/>
                        <a:tailEnd type="triangle" w="med" len="med"/>
                      </a:ln>
                    </xdr:spPr>
                    <xdr:style>
                      <a:lnRef idx="1">
                        <a:schemeClr val="accent1"/>
                      </a:lnRef>
                      <a:fillRef idx="0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tx1"/>
                      </a:fontRef>
                    </xdr:style>
                  </xdr:cxnSp>
                </xdr:grpSp>
              </xdr:grpSp>
            </xdr:grpSp>
            <xdr:cxnSp macro="">
              <xdr:nvCxnSpPr>
                <xdr:cNvPr id="53" name="Straight Connector 52"/>
                <xdr:cNvCxnSpPr/>
              </xdr:nvCxnSpPr>
              <xdr:spPr>
                <a:xfrm flipH="1">
                  <a:off x="4572000" y="752475"/>
                  <a:ext cx="114300" cy="123825"/>
                </a:xfrm>
                <a:prstGeom prst="line">
                  <a:avLst/>
                </a:prstGeom>
                <a:ln/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56" name="Straight Connector 55"/>
                <xdr:cNvCxnSpPr/>
              </xdr:nvCxnSpPr>
              <xdr:spPr>
                <a:xfrm flipH="1">
                  <a:off x="5372102" y="762000"/>
                  <a:ext cx="447673" cy="123825"/>
                </a:xfrm>
                <a:prstGeom prst="line">
                  <a:avLst/>
                </a:prstGeom>
                <a:ln/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59" name="Straight Connector 58"/>
                <xdr:cNvCxnSpPr/>
              </xdr:nvCxnSpPr>
              <xdr:spPr>
                <a:xfrm flipH="1">
                  <a:off x="4895851" y="762000"/>
                  <a:ext cx="133349" cy="123825"/>
                </a:xfrm>
                <a:prstGeom prst="line">
                  <a:avLst/>
                </a:prstGeom>
                <a:ln/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62" name="Straight Arrow Connector 61"/>
                <xdr:cNvCxnSpPr/>
              </xdr:nvCxnSpPr>
              <xdr:spPr>
                <a:xfrm>
                  <a:off x="5114925" y="990600"/>
                  <a:ext cx="180000" cy="0"/>
                </a:xfrm>
                <a:prstGeom prst="straightConnector1">
                  <a:avLst/>
                </a:prstGeom>
                <a:ln w="3175">
                  <a:headEnd type="triangle" w="med" len="med"/>
                  <a:tailEnd type="triangle" w="med" len="med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63" name="Straight Connector 62"/>
                <xdr:cNvCxnSpPr/>
              </xdr:nvCxnSpPr>
              <xdr:spPr>
                <a:xfrm flipH="1" flipV="1">
                  <a:off x="5200650" y="981075"/>
                  <a:ext cx="19050" cy="171450"/>
                </a:xfrm>
                <a:prstGeom prst="line">
                  <a:avLst/>
                </a:prstGeom>
                <a:ln/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cxnSp macro="">
            <xdr:nvCxnSpPr>
              <xdr:cNvPr id="68" name="Straight Arrow Connector 67"/>
              <xdr:cNvCxnSpPr/>
            </xdr:nvCxnSpPr>
            <xdr:spPr>
              <a:xfrm>
                <a:off x="4352925" y="3448050"/>
                <a:ext cx="3564000" cy="0"/>
              </a:xfrm>
              <a:prstGeom prst="straightConnector1">
                <a:avLst/>
              </a:prstGeom>
              <a:ln w="3175">
                <a:headEnd type="triangle" w="med" len="med"/>
                <a:tailEnd type="triangle" w="med" len="med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69" name="Straight Connector 68"/>
              <xdr:cNvCxnSpPr/>
            </xdr:nvCxnSpPr>
            <xdr:spPr>
              <a:xfrm>
                <a:off x="4429126" y="3305175"/>
                <a:ext cx="161924" cy="314325"/>
              </a:xfrm>
              <a:prstGeom prst="line">
                <a:avLst/>
              </a:prstGeom>
              <a:ln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  <xdr:cxnSp macro="">
        <xdr:nvCxnSpPr>
          <xdr:cNvPr id="75" name="Straight Connector 74"/>
          <xdr:cNvCxnSpPr/>
        </xdr:nvCxnSpPr>
        <xdr:spPr>
          <a:xfrm>
            <a:off x="4410075" y="2200275"/>
            <a:ext cx="9524" cy="257048"/>
          </a:xfrm>
          <a:prstGeom prst="line">
            <a:avLst/>
          </a:prstGeom>
          <a:ln/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" name="Straight Arrow Connector 75"/>
          <xdr:cNvCxnSpPr/>
        </xdr:nvCxnSpPr>
        <xdr:spPr>
          <a:xfrm>
            <a:off x="4333875" y="2486025"/>
            <a:ext cx="180000" cy="0"/>
          </a:xfrm>
          <a:prstGeom prst="straightConnector1">
            <a:avLst/>
          </a:prstGeom>
          <a:ln w="3175">
            <a:headEnd type="triangl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W53"/>
  <sheetViews>
    <sheetView showGridLines="0" tabSelected="1" view="pageBreakPreview" zoomScaleNormal="100" zoomScaleSheetLayoutView="100" workbookViewId="0">
      <selection activeCell="F27" sqref="F27:H27"/>
    </sheetView>
  </sheetViews>
  <sheetFormatPr defaultColWidth="9.1796875" defaultRowHeight="14.5" x14ac:dyDescent="0.35"/>
  <cols>
    <col min="1" max="4" width="9.1796875" style="1"/>
    <col min="5" max="5" width="10.1796875" style="1" bestFit="1" customWidth="1"/>
    <col min="6" max="8" width="10.7265625" style="1" customWidth="1"/>
    <col min="9" max="9" width="5.26953125" style="1" customWidth="1"/>
    <col min="10" max="10" width="9.54296875" style="1" bestFit="1" customWidth="1"/>
    <col min="11" max="11" width="9.1796875" style="1"/>
    <col min="12" max="12" width="11.54296875" style="1" customWidth="1"/>
    <col min="13" max="19" width="0" style="1" hidden="1" customWidth="1"/>
    <col min="20" max="16384" width="9.1796875" style="1"/>
  </cols>
  <sheetData>
    <row r="2" spans="1:12" x14ac:dyDescent="0.3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x14ac:dyDescent="0.3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12" ht="23" x14ac:dyDescent="0.5">
      <c r="A4" s="137" t="s">
        <v>121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</row>
    <row r="5" spans="1:12" x14ac:dyDescent="0.3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 x14ac:dyDescent="0.3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2" x14ac:dyDescent="0.35">
      <c r="A7" s="58" t="str">
        <f>"Design of Crash Barrier is checked for "&amp;E24&amp;" Km/hr"</f>
        <v>Design of Crash Barrier is checked for 150 Km/hr</v>
      </c>
      <c r="B7" s="21"/>
      <c r="C7" s="21"/>
      <c r="D7" s="21"/>
      <c r="E7" s="21"/>
      <c r="F7" s="21"/>
      <c r="G7" s="21"/>
      <c r="H7" s="21"/>
      <c r="I7" s="23"/>
      <c r="J7" s="24"/>
      <c r="K7" s="21"/>
      <c r="L7" s="21"/>
    </row>
    <row r="8" spans="1:12" x14ac:dyDescent="0.35">
      <c r="A8" s="22"/>
      <c r="B8" s="21"/>
      <c r="C8" s="21"/>
      <c r="D8" s="21"/>
      <c r="E8" s="21"/>
      <c r="F8" s="21"/>
      <c r="G8" s="21"/>
      <c r="H8" s="21"/>
      <c r="I8" s="23"/>
      <c r="J8" s="24"/>
      <c r="K8" s="21"/>
      <c r="L8" s="21"/>
    </row>
    <row r="9" spans="1:12" x14ac:dyDescent="0.35">
      <c r="A9" s="21" t="s">
        <v>1</v>
      </c>
      <c r="B9" s="21"/>
      <c r="C9" s="21"/>
      <c r="D9" s="25" t="s">
        <v>8</v>
      </c>
      <c r="E9" s="23" t="s">
        <v>3</v>
      </c>
      <c r="F9" s="26">
        <v>40</v>
      </c>
      <c r="G9" s="21" t="s">
        <v>71</v>
      </c>
      <c r="H9" s="21"/>
      <c r="I9" s="23"/>
      <c r="J9" s="21"/>
      <c r="K9" s="21"/>
      <c r="L9" s="21"/>
    </row>
    <row r="10" spans="1:12" x14ac:dyDescent="0.35">
      <c r="A10" s="21" t="s">
        <v>0</v>
      </c>
      <c r="B10" s="21"/>
      <c r="C10" s="21"/>
      <c r="D10" s="25" t="s">
        <v>9</v>
      </c>
      <c r="E10" s="23" t="s">
        <v>3</v>
      </c>
      <c r="F10" s="26">
        <v>500</v>
      </c>
      <c r="G10" s="21" t="s">
        <v>71</v>
      </c>
      <c r="H10" s="21"/>
      <c r="I10" s="21"/>
      <c r="J10" s="21"/>
      <c r="K10" s="21"/>
      <c r="L10" s="21"/>
    </row>
    <row r="11" spans="1:12" ht="16.5" x14ac:dyDescent="0.45">
      <c r="A11" s="21" t="s">
        <v>2</v>
      </c>
      <c r="B11" s="21"/>
      <c r="C11" s="21"/>
      <c r="D11" s="25" t="s">
        <v>26</v>
      </c>
      <c r="E11" s="23" t="s">
        <v>3</v>
      </c>
      <c r="F11" s="27">
        <v>0.45</v>
      </c>
      <c r="G11" s="21" t="s">
        <v>23</v>
      </c>
      <c r="H11" s="21"/>
      <c r="I11" s="21"/>
      <c r="J11" s="21"/>
      <c r="K11" s="21"/>
      <c r="L11" s="21"/>
    </row>
    <row r="12" spans="1:12" x14ac:dyDescent="0.35">
      <c r="A12" s="21" t="s">
        <v>32</v>
      </c>
      <c r="B12" s="21"/>
      <c r="C12" s="21"/>
      <c r="D12" s="25" t="s">
        <v>33</v>
      </c>
      <c r="E12" s="23" t="s">
        <v>3</v>
      </c>
      <c r="F12" s="26">
        <v>40</v>
      </c>
      <c r="G12" s="21" t="s">
        <v>24</v>
      </c>
      <c r="H12" s="21"/>
      <c r="I12" s="21"/>
      <c r="J12" s="21"/>
      <c r="K12" s="21"/>
      <c r="L12" s="21"/>
    </row>
    <row r="13" spans="1:12" x14ac:dyDescent="0.35">
      <c r="A13" s="21"/>
      <c r="B13" s="21"/>
      <c r="C13" s="21"/>
      <c r="D13" s="25"/>
      <c r="E13" s="23"/>
      <c r="F13" s="24"/>
      <c r="G13" s="21"/>
      <c r="H13" s="21"/>
      <c r="I13" s="21"/>
      <c r="J13" s="21"/>
      <c r="K13" s="21"/>
      <c r="L13" s="21"/>
    </row>
    <row r="14" spans="1:12" x14ac:dyDescent="0.35">
      <c r="A14" s="22" t="s">
        <v>70</v>
      </c>
      <c r="B14" s="21"/>
      <c r="C14" s="21"/>
      <c r="D14" s="25"/>
      <c r="E14" s="23"/>
      <c r="F14" s="24"/>
      <c r="G14" s="21"/>
      <c r="H14" s="21"/>
      <c r="I14" s="21"/>
      <c r="J14" s="21"/>
      <c r="K14" s="21"/>
      <c r="L14" s="21"/>
    </row>
    <row r="15" spans="1:12" x14ac:dyDescent="0.35">
      <c r="A15" s="22"/>
      <c r="B15" s="21"/>
      <c r="C15" s="21"/>
      <c r="D15" s="25"/>
      <c r="E15" s="23"/>
      <c r="F15" s="24"/>
      <c r="G15" s="21"/>
      <c r="H15" s="21"/>
      <c r="I15" s="21"/>
      <c r="J15" s="21"/>
      <c r="K15" s="21"/>
      <c r="L15" s="21"/>
    </row>
    <row r="16" spans="1:12" x14ac:dyDescent="0.35">
      <c r="A16" s="22" t="s">
        <v>62</v>
      </c>
      <c r="B16" s="21"/>
      <c r="C16" s="21"/>
      <c r="D16" s="25"/>
      <c r="E16" s="28" t="s">
        <v>63</v>
      </c>
      <c r="F16" s="29"/>
      <c r="G16" s="30"/>
      <c r="H16" s="30"/>
      <c r="I16" s="21"/>
      <c r="J16" s="21"/>
      <c r="K16" s="21"/>
      <c r="L16" s="21"/>
    </row>
    <row r="17" spans="1:23" x14ac:dyDescent="0.35">
      <c r="A17" s="22" t="s">
        <v>64</v>
      </c>
      <c r="B17" s="21"/>
      <c r="C17" s="21"/>
      <c r="D17" s="25"/>
      <c r="E17" s="28" t="s">
        <v>65</v>
      </c>
      <c r="F17" s="29"/>
      <c r="G17" s="30"/>
      <c r="H17" s="30"/>
      <c r="I17" s="21"/>
      <c r="J17" s="21"/>
      <c r="K17" s="21"/>
      <c r="L17" s="21"/>
    </row>
    <row r="18" spans="1:23" ht="17" x14ac:dyDescent="0.35">
      <c r="A18" s="22" t="s">
        <v>66</v>
      </c>
      <c r="B18" s="21"/>
      <c r="C18" s="21"/>
      <c r="D18" s="25"/>
      <c r="E18" s="28" t="s">
        <v>122</v>
      </c>
      <c r="F18" s="29"/>
      <c r="G18" s="30"/>
      <c r="H18" s="30"/>
      <c r="I18" s="21"/>
      <c r="J18" s="21"/>
      <c r="K18" s="21"/>
      <c r="L18" s="21"/>
    </row>
    <row r="19" spans="1:23" x14ac:dyDescent="0.35">
      <c r="A19" s="22" t="s">
        <v>67</v>
      </c>
      <c r="B19" s="21"/>
      <c r="C19" s="21"/>
      <c r="D19" s="25"/>
      <c r="E19" s="31">
        <v>1.5</v>
      </c>
      <c r="F19" s="30"/>
      <c r="G19" s="30"/>
      <c r="H19" s="30"/>
      <c r="I19" s="21"/>
      <c r="J19" s="21"/>
      <c r="K19" s="21"/>
      <c r="L19" s="21"/>
    </row>
    <row r="20" spans="1:23" x14ac:dyDescent="0.35">
      <c r="A20" s="22" t="s">
        <v>68</v>
      </c>
      <c r="B20" s="21"/>
      <c r="C20" s="21"/>
      <c r="D20" s="25"/>
      <c r="E20" s="32">
        <v>4.4000000000000004</v>
      </c>
      <c r="F20" s="30"/>
      <c r="G20" s="30"/>
      <c r="H20" s="30"/>
      <c r="I20" s="21"/>
      <c r="J20" s="21"/>
      <c r="K20" s="21"/>
      <c r="L20" s="21"/>
    </row>
    <row r="21" spans="1:23" x14ac:dyDescent="0.35">
      <c r="A21" s="22"/>
      <c r="B21" s="21"/>
      <c r="C21" s="21"/>
      <c r="D21" s="25"/>
      <c r="E21" s="21"/>
      <c r="F21" s="21"/>
      <c r="G21" s="21"/>
      <c r="H21" s="21"/>
      <c r="I21" s="21"/>
      <c r="J21" s="21"/>
      <c r="K21" s="21"/>
      <c r="L21" s="21"/>
    </row>
    <row r="22" spans="1:23" x14ac:dyDescent="0.35">
      <c r="A22" s="22" t="str">
        <f>"Calculation of bending moment &amp; shear force for "&amp;E24&amp;" km/h speed"</f>
        <v>Calculation of bending moment &amp; shear force for 150 km/h speed</v>
      </c>
      <c r="B22" s="21"/>
      <c r="C22" s="21"/>
      <c r="D22" s="25"/>
      <c r="E22" s="23"/>
      <c r="F22" s="24"/>
      <c r="G22" s="21"/>
      <c r="H22" s="21"/>
      <c r="I22" s="21"/>
      <c r="J22" s="21"/>
      <c r="K22" s="21"/>
      <c r="L22" s="21"/>
    </row>
    <row r="23" spans="1:23" x14ac:dyDescent="0.35">
      <c r="A23" s="22"/>
      <c r="B23" s="21"/>
      <c r="C23" s="21"/>
      <c r="D23" s="25"/>
      <c r="E23" s="23"/>
      <c r="F23" s="24"/>
      <c r="G23" s="21"/>
      <c r="H23" s="21"/>
      <c r="I23" s="21"/>
      <c r="J23" s="21"/>
      <c r="K23" s="21"/>
      <c r="L23" s="21"/>
    </row>
    <row r="24" spans="1:23" x14ac:dyDescent="0.35">
      <c r="A24" s="21" t="s">
        <v>69</v>
      </c>
      <c r="B24" s="21"/>
      <c r="C24" s="21"/>
      <c r="D24" s="25"/>
      <c r="E24" s="33">
        <v>150</v>
      </c>
      <c r="F24" s="56">
        <v>110</v>
      </c>
      <c r="G24" s="57">
        <f>E24^2/F24^2</f>
        <v>1.859504132231405</v>
      </c>
      <c r="H24" s="21"/>
      <c r="I24" s="21"/>
      <c r="J24" s="21"/>
      <c r="K24" s="21"/>
      <c r="L24" s="21"/>
    </row>
    <row r="25" spans="1:23" ht="15" thickBot="1" x14ac:dyDescent="0.4">
      <c r="A25" s="21"/>
      <c r="B25" s="21"/>
      <c r="C25" s="21"/>
      <c r="D25" s="25"/>
      <c r="E25" s="23"/>
      <c r="F25" s="24"/>
      <c r="G25" s="21"/>
      <c r="H25" s="21"/>
      <c r="I25" s="21"/>
      <c r="J25" s="21"/>
      <c r="K25" s="21"/>
      <c r="L25" s="21"/>
    </row>
    <row r="26" spans="1:23" ht="15" thickTop="1" x14ac:dyDescent="0.35">
      <c r="A26" s="21"/>
      <c r="B26" s="21"/>
      <c r="C26" s="21"/>
      <c r="D26" s="25"/>
      <c r="E26" s="23"/>
      <c r="F26" s="34" t="s">
        <v>19</v>
      </c>
      <c r="G26" s="34" t="s">
        <v>20</v>
      </c>
      <c r="H26" s="34" t="s">
        <v>21</v>
      </c>
      <c r="I26" s="21"/>
      <c r="J26" s="21"/>
      <c r="K26" s="21"/>
      <c r="L26" s="21"/>
    </row>
    <row r="27" spans="1:23" x14ac:dyDescent="0.35">
      <c r="A27" s="21" t="s">
        <v>29</v>
      </c>
      <c r="B27" s="21"/>
      <c r="C27" s="21"/>
      <c r="D27" s="25" t="s">
        <v>10</v>
      </c>
      <c r="E27" s="23" t="s">
        <v>3</v>
      </c>
      <c r="F27" s="138">
        <f>F28+G28+H28</f>
        <v>1.175</v>
      </c>
      <c r="G27" s="139"/>
      <c r="H27" s="140"/>
      <c r="I27" s="21" t="s">
        <v>23</v>
      </c>
      <c r="J27" s="21"/>
      <c r="K27" s="21"/>
      <c r="L27" s="21"/>
    </row>
    <row r="28" spans="1:23" x14ac:dyDescent="0.35">
      <c r="A28" s="21" t="s">
        <v>27</v>
      </c>
      <c r="B28" s="21"/>
      <c r="C28" s="21"/>
      <c r="D28" s="25" t="s">
        <v>58</v>
      </c>
      <c r="E28" s="23" t="s">
        <v>3</v>
      </c>
      <c r="F28" s="35">
        <f>0.175</f>
        <v>0.17499999999999999</v>
      </c>
      <c r="G28" s="35">
        <v>0.25</v>
      </c>
      <c r="H28" s="35">
        <v>0.75</v>
      </c>
      <c r="I28" s="21" t="s">
        <v>23</v>
      </c>
      <c r="J28" s="21"/>
      <c r="K28" s="21"/>
      <c r="L28" s="21"/>
      <c r="N28" s="141" t="s">
        <v>30</v>
      </c>
      <c r="O28" s="141"/>
      <c r="P28" s="141" t="s">
        <v>31</v>
      </c>
      <c r="Q28" s="141"/>
    </row>
    <row r="29" spans="1:23" ht="16.5" x14ac:dyDescent="0.45">
      <c r="A29" s="21" t="s">
        <v>28</v>
      </c>
      <c r="B29" s="21"/>
      <c r="C29" s="21"/>
      <c r="D29" s="25" t="s">
        <v>26</v>
      </c>
      <c r="E29" s="23" t="s">
        <v>3</v>
      </c>
      <c r="F29" s="49">
        <f>F11</f>
        <v>0.45</v>
      </c>
      <c r="G29" s="49">
        <f>F29</f>
        <v>0.45</v>
      </c>
      <c r="H29" s="35">
        <f>0.175+0.05</f>
        <v>0.22499999999999998</v>
      </c>
      <c r="I29" s="21" t="s">
        <v>23</v>
      </c>
      <c r="J29" s="21"/>
      <c r="K29" s="21"/>
      <c r="L29" s="21"/>
      <c r="N29" s="13" t="s">
        <v>11</v>
      </c>
      <c r="O29" s="13" t="s">
        <v>27</v>
      </c>
      <c r="P29" s="13" t="s">
        <v>11</v>
      </c>
      <c r="Q29" s="13" t="s">
        <v>27</v>
      </c>
    </row>
    <row r="30" spans="1:23" x14ac:dyDescent="0.35">
      <c r="A30" s="21" t="s">
        <v>4</v>
      </c>
      <c r="B30" s="21"/>
      <c r="C30" s="21"/>
      <c r="D30" s="25" t="s">
        <v>11</v>
      </c>
      <c r="E30" s="23" t="s">
        <v>3</v>
      </c>
      <c r="F30" s="49">
        <f>E19*G24*1.5</f>
        <v>4.1838842975206614</v>
      </c>
      <c r="G30" s="50">
        <f>N31</f>
        <v>3.5607525936346054</v>
      </c>
      <c r="H30" s="50">
        <f>P31</f>
        <v>2.7595832600668193</v>
      </c>
      <c r="I30" s="21" t="s">
        <v>40</v>
      </c>
      <c r="J30" s="21"/>
      <c r="K30" s="21"/>
      <c r="L30" s="21"/>
      <c r="N30" s="2">
        <v>0</v>
      </c>
      <c r="O30" s="2">
        <v>0</v>
      </c>
      <c r="P30" s="2">
        <v>0</v>
      </c>
      <c r="Q30" s="2">
        <v>0</v>
      </c>
    </row>
    <row r="31" spans="1:23" ht="16.5" x14ac:dyDescent="0.45">
      <c r="A31" s="21" t="s">
        <v>15</v>
      </c>
      <c r="B31" s="21"/>
      <c r="C31" s="21"/>
      <c r="D31" s="25" t="s">
        <v>17</v>
      </c>
      <c r="E31" s="23" t="s">
        <v>3</v>
      </c>
      <c r="F31" s="50">
        <f>SQRT((F30*10^7)/(0.1336*$F$9*1000))</f>
        <v>88.482341787696669</v>
      </c>
      <c r="G31" s="50">
        <f>SQRT((G30*10^7)/(0.1336*$F$9*1000))</f>
        <v>81.627721658628502</v>
      </c>
      <c r="H31" s="50">
        <f>SQRT((H30*10^7)/(0.1336*$F$9*1000))</f>
        <v>71.860217303897429</v>
      </c>
      <c r="I31" s="21" t="s">
        <v>24</v>
      </c>
      <c r="J31" s="36" t="s">
        <v>57</v>
      </c>
      <c r="K31" s="21"/>
      <c r="L31" s="21"/>
      <c r="N31" s="3">
        <f>N32-((N32-N30)/(O32-O30))*(O32-O31)</f>
        <v>3.5607525936346054</v>
      </c>
      <c r="O31" s="3">
        <f>F27-F28</f>
        <v>1</v>
      </c>
      <c r="P31" s="3">
        <f>P32-((P32-P30)/(Q32-Q30))*(Q32-Q31)</f>
        <v>2.7595832600668193</v>
      </c>
      <c r="Q31" s="3">
        <f>Q32-H29</f>
        <v>0.77500000000000002</v>
      </c>
    </row>
    <row r="32" spans="1:23" ht="17" thickBot="1" x14ac:dyDescent="0.5">
      <c r="A32" s="21" t="s">
        <v>14</v>
      </c>
      <c r="B32" s="21"/>
      <c r="C32" s="21"/>
      <c r="D32" s="25" t="s">
        <v>16</v>
      </c>
      <c r="E32" s="23" t="s">
        <v>3</v>
      </c>
      <c r="F32" s="51">
        <f>(F29*1000)-$F$12-B38/2</f>
        <v>404</v>
      </c>
      <c r="G32" s="51">
        <f>(G29*1000)-$F$12-B39/2</f>
        <v>404</v>
      </c>
      <c r="H32" s="51">
        <f>(H29*1000)-$F$12-B40/2</f>
        <v>178.99999999999997</v>
      </c>
      <c r="I32" s="21" t="s">
        <v>24</v>
      </c>
      <c r="J32" s="21"/>
      <c r="K32" s="21"/>
      <c r="L32" s="21"/>
      <c r="N32" s="14">
        <f>F30</f>
        <v>4.1838842975206614</v>
      </c>
      <c r="O32" s="4">
        <f>F27</f>
        <v>1.175</v>
      </c>
      <c r="P32" s="4">
        <f>N31</f>
        <v>3.5607525936346054</v>
      </c>
      <c r="Q32" s="4">
        <f>O31</f>
        <v>1</v>
      </c>
      <c r="T32" s="5"/>
      <c r="U32" s="5"/>
      <c r="V32" s="5"/>
      <c r="W32" s="5"/>
    </row>
    <row r="33" spans="1:23" ht="15.5" thickTop="1" thickBot="1" x14ac:dyDescent="0.4">
      <c r="A33" s="21"/>
      <c r="B33" s="21"/>
      <c r="C33" s="21"/>
      <c r="D33" s="37" t="s">
        <v>59</v>
      </c>
      <c r="E33" s="38" t="s">
        <v>3</v>
      </c>
      <c r="F33" s="52" t="str">
        <f>IF(F32&gt;F31,"Ok","Error")</f>
        <v>Ok</v>
      </c>
      <c r="G33" s="52" t="str">
        <f>IF(G32&gt;G31,"Ok","Error")</f>
        <v>Ok</v>
      </c>
      <c r="H33" s="52" t="str">
        <f>IF(H32&gt;H31,"Ok","Error")</f>
        <v>Ok</v>
      </c>
      <c r="I33" s="21"/>
      <c r="J33" s="21"/>
      <c r="K33" s="21"/>
      <c r="L33" s="21"/>
      <c r="N33" s="13" t="s">
        <v>44</v>
      </c>
      <c r="O33" s="13" t="s">
        <v>27</v>
      </c>
      <c r="P33" s="13" t="s">
        <v>44</v>
      </c>
      <c r="Q33" s="13" t="s">
        <v>27</v>
      </c>
      <c r="T33" s="5"/>
      <c r="U33" s="5"/>
      <c r="V33" s="5"/>
      <c r="W33" s="5"/>
    </row>
    <row r="34" spans="1:23" ht="17" thickTop="1" x14ac:dyDescent="0.45">
      <c r="A34" s="21" t="s">
        <v>22</v>
      </c>
      <c r="B34" s="21"/>
      <c r="C34" s="21"/>
      <c r="D34" s="25" t="s">
        <v>34</v>
      </c>
      <c r="E34" s="23" t="s">
        <v>3</v>
      </c>
      <c r="F34" s="53">
        <f>MAX(0.0013*F32*1000,0.26*(0.259*($F$9^(2/3)))*F32*1000/$F$10)</f>
        <v>636.39164171573429</v>
      </c>
      <c r="G34" s="53">
        <f>MAX(0.0013*G32*1000,0.26*(0.259*($F$9^(2/3)))*G32*1000/$F$10)</f>
        <v>636.39164171573429</v>
      </c>
      <c r="H34" s="53">
        <f>MAX(0.0013*H32*1000,0.26*(0.259*($F$9^(2/3)))*H32*1000/$F$10)</f>
        <v>281.96560363147631</v>
      </c>
      <c r="I34" s="21" t="s">
        <v>25</v>
      </c>
      <c r="J34" s="36" t="s">
        <v>73</v>
      </c>
      <c r="K34" s="21"/>
      <c r="L34" s="21"/>
      <c r="N34" s="2">
        <f>N30</f>
        <v>0</v>
      </c>
      <c r="O34" s="2">
        <f>O30</f>
        <v>0</v>
      </c>
      <c r="P34" s="2">
        <v>0</v>
      </c>
      <c r="Q34" s="2">
        <f>Q30</f>
        <v>0</v>
      </c>
      <c r="T34" s="6"/>
      <c r="U34" s="7"/>
      <c r="V34" s="7"/>
      <c r="W34" s="7"/>
    </row>
    <row r="35" spans="1:23" x14ac:dyDescent="0.35">
      <c r="A35" s="21"/>
      <c r="B35" s="21"/>
      <c r="C35" s="21"/>
      <c r="D35" s="25"/>
      <c r="E35" s="23"/>
      <c r="F35" s="145" t="s">
        <v>42</v>
      </c>
      <c r="G35" s="146"/>
      <c r="H35" s="147"/>
      <c r="I35" s="21"/>
      <c r="J35" s="36"/>
      <c r="K35" s="21"/>
      <c r="L35" s="21"/>
      <c r="N35" s="2"/>
      <c r="O35" s="2"/>
      <c r="P35" s="2"/>
      <c r="Q35" s="2"/>
      <c r="T35" s="6"/>
      <c r="U35" s="7"/>
      <c r="V35" s="7"/>
      <c r="W35" s="7"/>
    </row>
    <row r="36" spans="1:23" ht="16.5" x14ac:dyDescent="0.45">
      <c r="A36" s="21" t="s">
        <v>5</v>
      </c>
      <c r="B36" s="21"/>
      <c r="C36" s="21"/>
      <c r="D36" s="25" t="s">
        <v>13</v>
      </c>
      <c r="E36" s="23" t="s">
        <v>3</v>
      </c>
      <c r="F36" s="50">
        <f>(0.5*$F$9/$F$10)*((1-SQRT(1-((4.6*F30*10^7)/($F$9*1000*F32*F32))))*1000*F32)</f>
        <v>239.9732131958408</v>
      </c>
      <c r="G36" s="50">
        <f>(0.5*$F$9/$F$10)*((1-SQRT(1-((4.6*G30*10^7)/($F$9*1000*G32*G32))))*1000*G32)</f>
        <v>204.00378454192742</v>
      </c>
      <c r="H36" s="50">
        <f>(0.5*$F$9/$F$10)*((1-SQRT(1-((4.6*H30*10^7)/($F$9*1000*H32*H32))))*1000*H32)</f>
        <v>363.82704741285613</v>
      </c>
      <c r="I36" s="21" t="s">
        <v>25</v>
      </c>
      <c r="J36" s="21"/>
      <c r="K36" s="21"/>
      <c r="L36" s="21"/>
      <c r="N36" s="3">
        <f>N37-((N37-N34)/(O37-O34))*(O37-O36)</f>
        <v>10.444874274661508</v>
      </c>
      <c r="O36" s="3">
        <f>O31</f>
        <v>1</v>
      </c>
      <c r="P36" s="3">
        <f>P37-((P37-P34)/(Q37-Q34))*(Q37-Q36)</f>
        <v>8.094777562862669</v>
      </c>
      <c r="Q36" s="3">
        <f>Q31</f>
        <v>0.77500000000000002</v>
      </c>
      <c r="T36" s="6"/>
      <c r="U36" s="8"/>
      <c r="V36" s="8"/>
      <c r="W36" s="8"/>
    </row>
    <row r="37" spans="1:23" ht="16.5" x14ac:dyDescent="0.45">
      <c r="A37" s="21" t="s">
        <v>6</v>
      </c>
      <c r="B37" s="21"/>
      <c r="C37" s="21"/>
      <c r="D37" s="25" t="s">
        <v>12</v>
      </c>
      <c r="E37" s="23" t="s">
        <v>3</v>
      </c>
      <c r="F37" s="148">
        <f>MAX(F38:H40)</f>
        <v>1130.9733552923256</v>
      </c>
      <c r="G37" s="149"/>
      <c r="H37" s="150"/>
      <c r="I37" s="21" t="s">
        <v>25</v>
      </c>
      <c r="J37" s="21"/>
      <c r="K37" s="21"/>
      <c r="L37" s="21"/>
      <c r="N37" s="14">
        <f>F46</f>
        <v>12.272727272727273</v>
      </c>
      <c r="O37" s="4">
        <f>O32</f>
        <v>1.175</v>
      </c>
      <c r="P37" s="4">
        <f>N36</f>
        <v>10.444874274661508</v>
      </c>
      <c r="Q37" s="4">
        <f>Q32</f>
        <v>1</v>
      </c>
      <c r="T37" s="6"/>
      <c r="U37" s="9"/>
      <c r="V37" s="9"/>
      <c r="W37" s="9"/>
    </row>
    <row r="38" spans="1:23" x14ac:dyDescent="0.35">
      <c r="A38" s="22" t="s">
        <v>19</v>
      </c>
      <c r="B38" s="40">
        <v>12</v>
      </c>
      <c r="C38" s="41">
        <v>0</v>
      </c>
      <c r="D38" s="42">
        <v>100</v>
      </c>
      <c r="E38" s="23" t="s">
        <v>3</v>
      </c>
      <c r="F38" s="50">
        <f>((PI()/4*B38*B38)+(PI()/4*C38*C38))*(1000/D38)</f>
        <v>1130.9733552923256</v>
      </c>
      <c r="G38" s="50" t="s">
        <v>35</v>
      </c>
      <c r="H38" s="50" t="s">
        <v>35</v>
      </c>
      <c r="I38" s="21" t="s">
        <v>25</v>
      </c>
      <c r="J38" s="21"/>
      <c r="K38" s="21"/>
      <c r="L38" s="21"/>
      <c r="T38" s="6"/>
      <c r="U38" s="9"/>
      <c r="V38" s="9"/>
      <c r="W38" s="9"/>
    </row>
    <row r="39" spans="1:23" x14ac:dyDescent="0.35">
      <c r="A39" s="22" t="s">
        <v>20</v>
      </c>
      <c r="B39" s="43">
        <f t="shared" ref="B39:D40" si="0">B38</f>
        <v>12</v>
      </c>
      <c r="C39" s="44">
        <f t="shared" si="0"/>
        <v>0</v>
      </c>
      <c r="D39" s="45">
        <f t="shared" si="0"/>
        <v>100</v>
      </c>
      <c r="E39" s="23" t="s">
        <v>3</v>
      </c>
      <c r="F39" s="50" t="s">
        <v>35</v>
      </c>
      <c r="G39" s="50">
        <f>((PI()/4*B39*B39)+(PI()/4*C39*C39))*(1000/D39)</f>
        <v>1130.9733552923256</v>
      </c>
      <c r="H39" s="50" t="s">
        <v>35</v>
      </c>
      <c r="I39" s="21" t="s">
        <v>25</v>
      </c>
      <c r="J39" s="21"/>
      <c r="K39" s="21"/>
      <c r="L39" s="21"/>
      <c r="T39" s="6"/>
      <c r="U39" s="9"/>
      <c r="V39" s="9"/>
      <c r="W39" s="9"/>
    </row>
    <row r="40" spans="1:23" ht="15" thickBot="1" x14ac:dyDescent="0.4">
      <c r="A40" s="22" t="s">
        <v>21</v>
      </c>
      <c r="B40" s="43">
        <f t="shared" si="0"/>
        <v>12</v>
      </c>
      <c r="C40" s="44">
        <f t="shared" si="0"/>
        <v>0</v>
      </c>
      <c r="D40" s="45">
        <f t="shared" si="0"/>
        <v>100</v>
      </c>
      <c r="E40" s="23" t="s">
        <v>3</v>
      </c>
      <c r="F40" s="54" t="s">
        <v>35</v>
      </c>
      <c r="G40" s="54" t="s">
        <v>35</v>
      </c>
      <c r="H40" s="54">
        <f>((PI()/4*B40*B40)+(PI()/4*C40*C40))*(1000/D40)</f>
        <v>1130.9733552923256</v>
      </c>
      <c r="I40" s="21" t="s">
        <v>25</v>
      </c>
      <c r="J40" s="21"/>
      <c r="K40" s="21"/>
      <c r="L40" s="21"/>
      <c r="T40" s="6"/>
      <c r="U40" s="10"/>
      <c r="V40" s="10"/>
      <c r="W40" s="10"/>
    </row>
    <row r="41" spans="1:23" ht="15.5" thickTop="1" thickBot="1" x14ac:dyDescent="0.4">
      <c r="A41" s="22"/>
      <c r="B41" s="46"/>
      <c r="C41" s="47"/>
      <c r="D41" s="37" t="s">
        <v>59</v>
      </c>
      <c r="E41" s="38" t="s">
        <v>3</v>
      </c>
      <c r="F41" s="52" t="str">
        <f>IF(F38&gt;MAX(F34:F36),"Ok","Error")</f>
        <v>Ok</v>
      </c>
      <c r="G41" s="52" t="str">
        <f>IF(G39&gt;MAX(G34:G36),"Ok","Error")</f>
        <v>Ok</v>
      </c>
      <c r="H41" s="52" t="str">
        <f>IF(H40&gt;MAX(H34:H36),"Ok","Error")</f>
        <v>Ok</v>
      </c>
      <c r="I41" s="21"/>
      <c r="J41" s="21"/>
      <c r="K41" s="21"/>
      <c r="L41" s="21"/>
      <c r="T41" s="6"/>
      <c r="U41" s="10"/>
      <c r="V41" s="10"/>
      <c r="W41" s="10"/>
    </row>
    <row r="42" spans="1:23" ht="15.5" thickTop="1" x14ac:dyDescent="0.35">
      <c r="A42" s="21" t="s">
        <v>18</v>
      </c>
      <c r="B42" s="21"/>
      <c r="C42" s="21"/>
      <c r="D42" s="21"/>
      <c r="E42" s="23" t="s">
        <v>3</v>
      </c>
      <c r="F42" s="142" t="s">
        <v>36</v>
      </c>
      <c r="G42" s="143"/>
      <c r="H42" s="144"/>
      <c r="I42" s="21"/>
      <c r="J42" s="48" t="s">
        <v>7</v>
      </c>
      <c r="K42" s="21"/>
      <c r="L42" s="21"/>
      <c r="T42" s="6"/>
      <c r="U42" s="6"/>
      <c r="V42" s="6"/>
      <c r="W42" s="6"/>
    </row>
    <row r="43" spans="1:23" x14ac:dyDescent="0.35">
      <c r="A43" s="21" t="s">
        <v>37</v>
      </c>
      <c r="B43" s="21"/>
      <c r="C43" s="21"/>
      <c r="D43" s="21"/>
      <c r="E43" s="23" t="s">
        <v>3</v>
      </c>
      <c r="F43" s="50">
        <f>50%*F38</f>
        <v>565.48667764616278</v>
      </c>
      <c r="G43" s="50">
        <f>50%*G39</f>
        <v>565.48667764616278</v>
      </c>
      <c r="H43" s="50">
        <f>50%*H40</f>
        <v>565.48667764616278</v>
      </c>
      <c r="I43" s="21" t="s">
        <v>25</v>
      </c>
      <c r="J43" s="21"/>
      <c r="K43" s="21"/>
      <c r="L43" s="21"/>
      <c r="T43" s="5"/>
      <c r="U43" s="5"/>
      <c r="V43" s="5"/>
      <c r="W43" s="5"/>
    </row>
    <row r="44" spans="1:23" ht="15" thickBot="1" x14ac:dyDescent="0.4">
      <c r="A44" s="21" t="s">
        <v>43</v>
      </c>
      <c r="B44" s="40">
        <v>12</v>
      </c>
      <c r="C44" s="41">
        <v>0</v>
      </c>
      <c r="D44" s="42">
        <v>200</v>
      </c>
      <c r="E44" s="23" t="s">
        <v>3</v>
      </c>
      <c r="F44" s="54">
        <f>((PI()/4*B44*B44)+(PI()/4*C44*C44))*(1000/D44)</f>
        <v>565.48667764616278</v>
      </c>
      <c r="G44" s="54">
        <f>((PI()/4*B44*B44)+(PI()/4*C44*C44))*(1000/D44)</f>
        <v>565.48667764616278</v>
      </c>
      <c r="H44" s="54">
        <f>((PI()/4*B44*B44)+(PI()/4*C44*C44))*(1000/D44)</f>
        <v>565.48667764616278</v>
      </c>
      <c r="I44" s="21" t="s">
        <v>25</v>
      </c>
      <c r="J44" s="21"/>
      <c r="K44" s="21"/>
      <c r="L44" s="21"/>
      <c r="P44" s="7"/>
      <c r="Q44" s="7"/>
      <c r="R44" s="7"/>
      <c r="S44" s="7"/>
      <c r="T44" s="7"/>
      <c r="U44" s="7"/>
      <c r="V44" s="7"/>
      <c r="W44" s="7"/>
    </row>
    <row r="45" spans="1:23" ht="15.5" thickTop="1" thickBot="1" x14ac:dyDescent="0.4">
      <c r="A45" s="21"/>
      <c r="B45" s="46"/>
      <c r="C45" s="47"/>
      <c r="D45" s="37" t="s">
        <v>59</v>
      </c>
      <c r="E45" s="38" t="s">
        <v>3</v>
      </c>
      <c r="F45" s="52" t="str">
        <f>IF(F44&gt;=F43,"Ok","Error")</f>
        <v>Ok</v>
      </c>
      <c r="G45" s="52" t="str">
        <f>IF(G44&gt;=G43,"Ok","Error")</f>
        <v>Ok</v>
      </c>
      <c r="H45" s="52" t="str">
        <f>IF(H44&gt;=H43,"Ok","Error")</f>
        <v>Ok</v>
      </c>
      <c r="I45" s="21"/>
      <c r="J45" s="21"/>
      <c r="K45" s="21"/>
      <c r="L45" s="21"/>
      <c r="P45" s="7"/>
      <c r="Q45" s="7"/>
      <c r="R45" s="7"/>
      <c r="S45" s="7"/>
      <c r="T45" s="7"/>
      <c r="U45" s="7"/>
      <c r="V45" s="7"/>
      <c r="W45" s="7"/>
    </row>
    <row r="46" spans="1:23" ht="17" thickTop="1" x14ac:dyDescent="0.45">
      <c r="A46" s="21" t="s">
        <v>38</v>
      </c>
      <c r="B46" s="21"/>
      <c r="C46" s="21"/>
      <c r="D46" s="25" t="s">
        <v>39</v>
      </c>
      <c r="E46" s="23" t="s">
        <v>3</v>
      </c>
      <c r="F46" s="55">
        <f>E20*1.5*G24</f>
        <v>12.272727272727273</v>
      </c>
      <c r="G46" s="53">
        <f>N36</f>
        <v>10.444874274661508</v>
      </c>
      <c r="H46" s="53">
        <f>P36</f>
        <v>8.094777562862669</v>
      </c>
      <c r="I46" s="21" t="s">
        <v>41</v>
      </c>
      <c r="J46" s="48" t="s">
        <v>60</v>
      </c>
      <c r="K46" s="21"/>
      <c r="L46" s="21"/>
      <c r="P46" s="8"/>
      <c r="Q46" s="8"/>
      <c r="R46" s="8"/>
      <c r="S46" s="8"/>
      <c r="T46" s="8"/>
      <c r="U46" s="8"/>
      <c r="V46" s="8"/>
      <c r="W46" s="8"/>
    </row>
    <row r="47" spans="1:23" x14ac:dyDescent="0.35">
      <c r="A47" s="21" t="s">
        <v>51</v>
      </c>
      <c r="B47" s="21"/>
      <c r="C47" s="21"/>
      <c r="D47" s="25" t="s">
        <v>45</v>
      </c>
      <c r="E47" s="23" t="s">
        <v>3</v>
      </c>
      <c r="F47" s="50">
        <f>MIN(1+SQRT(200/F$32),2)</f>
        <v>1.7035975447302918</v>
      </c>
      <c r="G47" s="50">
        <f>MIN(1+SQRT(200/G$32),2)</f>
        <v>1.7035975447302918</v>
      </c>
      <c r="H47" s="50">
        <f>MIN(1+SQRT(200/H$32),2)</f>
        <v>2</v>
      </c>
      <c r="I47" s="21"/>
      <c r="J47" s="36" t="s">
        <v>50</v>
      </c>
      <c r="K47" s="21"/>
      <c r="L47" s="21"/>
      <c r="T47" s="9"/>
      <c r="U47" s="9"/>
      <c r="V47" s="9"/>
      <c r="W47" s="9"/>
    </row>
    <row r="48" spans="1:23" ht="16.5" x14ac:dyDescent="0.45">
      <c r="A48" s="21" t="s">
        <v>48</v>
      </c>
      <c r="B48" s="21"/>
      <c r="C48" s="21"/>
      <c r="D48" s="25" t="s">
        <v>49</v>
      </c>
      <c r="E48" s="23" t="s">
        <v>3</v>
      </c>
      <c r="F48" s="50">
        <f>MIN(0.02,(F38/(F32*1000))*100)</f>
        <v>0.02</v>
      </c>
      <c r="G48" s="50">
        <f>MIN(0.02,(G39/(G32*1000))*100)</f>
        <v>0.02</v>
      </c>
      <c r="H48" s="50">
        <f>MIN(0.02,(H40/(H32*1000))*100)</f>
        <v>0.02</v>
      </c>
      <c r="I48" s="21" t="s">
        <v>56</v>
      </c>
      <c r="J48" s="36" t="s">
        <v>61</v>
      </c>
      <c r="K48" s="21"/>
      <c r="L48" s="21"/>
      <c r="T48" s="11"/>
      <c r="U48" s="11"/>
      <c r="V48" s="11"/>
      <c r="W48" s="11"/>
    </row>
    <row r="49" spans="1:23" ht="18" x14ac:dyDescent="0.45">
      <c r="A49" s="21"/>
      <c r="B49" s="21"/>
      <c r="C49" s="21"/>
      <c r="D49" s="25" t="s">
        <v>52</v>
      </c>
      <c r="E49" s="23" t="s">
        <v>3</v>
      </c>
      <c r="F49" s="50">
        <f>0.12*F47*(80*F48*$F$9)^0.33</f>
        <v>0.80646893467564884</v>
      </c>
      <c r="G49" s="50">
        <f>0.12*G47*(80*G48*$F$9)^0.33</f>
        <v>0.80646893467564884</v>
      </c>
      <c r="H49" s="50">
        <f>0.12*H47*(80*H48*$F$9)^0.33</f>
        <v>0.94678339631362474</v>
      </c>
      <c r="I49" s="21"/>
      <c r="J49" s="36" t="s">
        <v>54</v>
      </c>
      <c r="K49" s="21"/>
      <c r="L49" s="21"/>
      <c r="T49" s="10"/>
      <c r="U49" s="10"/>
      <c r="V49" s="10"/>
      <c r="W49" s="10"/>
    </row>
    <row r="50" spans="1:23" ht="18" x14ac:dyDescent="0.45">
      <c r="A50" s="21"/>
      <c r="B50" s="21"/>
      <c r="C50" s="21"/>
      <c r="D50" s="25" t="s">
        <v>53</v>
      </c>
      <c r="E50" s="23" t="s">
        <v>3</v>
      </c>
      <c r="F50" s="50">
        <f>0.031*F47^(3/2)*$F$9^(1/2)</f>
        <v>0.43595553678791155</v>
      </c>
      <c r="G50" s="50">
        <f>0.031*G47^(3/2)*$F$9^(1/2)</f>
        <v>0.43595553678791155</v>
      </c>
      <c r="H50" s="50">
        <f>0.031*H47^(3/2)*$F$9^(1/2)</f>
        <v>0.55454485841994783</v>
      </c>
      <c r="I50" s="21"/>
      <c r="J50" s="36" t="s">
        <v>55</v>
      </c>
      <c r="K50" s="21"/>
      <c r="L50" s="21"/>
      <c r="T50" s="12"/>
      <c r="U50" s="12"/>
      <c r="V50" s="12"/>
      <c r="W50" s="12"/>
    </row>
    <row r="51" spans="1:23" ht="17" thickBot="1" x14ac:dyDescent="0.5">
      <c r="A51" s="21" t="s">
        <v>47</v>
      </c>
      <c r="B51" s="21"/>
      <c r="C51" s="21"/>
      <c r="D51" s="25" t="s">
        <v>46</v>
      </c>
      <c r="E51" s="23" t="s">
        <v>3</v>
      </c>
      <c r="F51" s="54">
        <f>((MIN(F49:F50)+0.15*(0.2*((0.67*$F$9)/1.5)))*1000*F32)/10000</f>
        <v>39.267003686231625</v>
      </c>
      <c r="G51" s="54">
        <f>((MIN(G49:G50)+0.15*(0.2*((0.67*$F$9)/1.5)))*1000*G32)/10000</f>
        <v>39.267003686231625</v>
      </c>
      <c r="H51" s="54">
        <f>((MIN(H49:H50)+0.15*(0.2*((0.67*$F$9)/1.5)))*1000*H32)/10000</f>
        <v>19.520752965717069</v>
      </c>
      <c r="I51" s="21" t="s">
        <v>41</v>
      </c>
      <c r="J51" s="36" t="s">
        <v>72</v>
      </c>
      <c r="K51" s="21"/>
      <c r="L51" s="21"/>
      <c r="T51" s="6"/>
      <c r="U51" s="6"/>
      <c r="V51" s="6"/>
      <c r="W51" s="6"/>
    </row>
    <row r="52" spans="1:23" ht="15.5" thickTop="1" thickBot="1" x14ac:dyDescent="0.4">
      <c r="A52" s="21"/>
      <c r="B52" s="21"/>
      <c r="C52" s="21"/>
      <c r="D52" s="37" t="s">
        <v>59</v>
      </c>
      <c r="E52" s="38" t="s">
        <v>3</v>
      </c>
      <c r="F52" s="52" t="str">
        <f>IF(F51&gt;=F46,"Ok","Error")</f>
        <v>Ok</v>
      </c>
      <c r="G52" s="52" t="str">
        <f>IF(G51&gt;=G46,"Ok","Error")</f>
        <v>Ok</v>
      </c>
      <c r="H52" s="52" t="str">
        <f>IF(H51&gt;=H46,"Ok","Error")</f>
        <v>Ok</v>
      </c>
      <c r="I52" s="21"/>
      <c r="J52" s="21"/>
      <c r="K52" s="21"/>
      <c r="L52" s="21"/>
      <c r="T52" s="6"/>
      <c r="U52" s="6"/>
      <c r="V52" s="6"/>
      <c r="W52" s="6"/>
    </row>
    <row r="53" spans="1:23" ht="15" thickTop="1" x14ac:dyDescent="0.35">
      <c r="F53" s="15"/>
    </row>
  </sheetData>
  <sheetProtection algorithmName="SHA-512" hashValue="drcnUr7mFjyKFziQwlcGC6FV8VJZ+8EaTGDXrAC84/lcqIYlYNNiFmZWFLJSJV7x9vngapuhzrZPszvFb17ogw==" saltValue="yP3GkkNbm6JWCN71Qq3Aqg==" spinCount="100000" sheet="1" objects="1" scenarios="1" formatCells="0" formatColumns="0" formatRows="0" insertColumns="0" insertRows="0" deleteColumns="0" deleteRows="0" sort="0" autoFilter="0"/>
  <mergeCells count="7">
    <mergeCell ref="A4:L4"/>
    <mergeCell ref="F27:H27"/>
    <mergeCell ref="N28:O28"/>
    <mergeCell ref="P28:Q28"/>
    <mergeCell ref="F42:H42"/>
    <mergeCell ref="F35:H35"/>
    <mergeCell ref="F37:H37"/>
  </mergeCells>
  <printOptions horizontalCentered="1"/>
  <pageMargins left="0.70866141732283472" right="0" top="0.74803149606299213" bottom="0.74803149606299213" header="0.31496062992125984" footer="0.31496062992125984"/>
  <pageSetup paperSize="9" scale="82" fitToWidth="0" fitToHeight="0" orientation="portrait" r:id="rId1"/>
  <headerFooter>
    <oddHeader>&amp;RDesign Report</oddHeader>
    <oddFooter>&amp;R&amp;P of &amp;P</oddFooter>
  </headerFooter>
  <rowBreaks count="1" manualBreakCount="1">
    <brk id="52" max="12" man="1"/>
  </rowBreaks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C051B4C7-A82A-4FD4-A754-D8238B8E609C}">
            <xm:f>NOT(ISERROR(SEARCH("Error",F33)))</xm:f>
            <xm:f>"Error"</xm:f>
            <x14:dxf>
              <fill>
                <patternFill>
                  <bgColor rgb="FFFFFF00"/>
                </patternFill>
              </fill>
            </x14:dxf>
          </x14:cfRule>
          <xm:sqref>F33:H33</xm:sqref>
        </x14:conditionalFormatting>
        <x14:conditionalFormatting xmlns:xm="http://schemas.microsoft.com/office/excel/2006/main">
          <x14:cfRule type="containsText" priority="3" operator="containsText" id="{11F80683-35A1-4B6A-8863-B64D57DEC115}">
            <xm:f>NOT(ISERROR(SEARCH("Error",F41)))</xm:f>
            <xm:f>"Error"</xm:f>
            <x14:dxf>
              <fill>
                <patternFill>
                  <bgColor rgb="FFFFFF00"/>
                </patternFill>
              </fill>
            </x14:dxf>
          </x14:cfRule>
          <xm:sqref>F41:H41</xm:sqref>
        </x14:conditionalFormatting>
        <x14:conditionalFormatting xmlns:xm="http://schemas.microsoft.com/office/excel/2006/main">
          <x14:cfRule type="containsText" priority="2" operator="containsText" id="{987CBC7C-A2BB-4305-9B76-606EAF194D90}">
            <xm:f>NOT(ISERROR(SEARCH("Error",F45)))</xm:f>
            <xm:f>"Error"</xm:f>
            <x14:dxf>
              <fill>
                <patternFill>
                  <bgColor rgb="FFFFFF00"/>
                </patternFill>
              </fill>
            </x14:dxf>
          </x14:cfRule>
          <xm:sqref>F45:H45</xm:sqref>
        </x14:conditionalFormatting>
        <x14:conditionalFormatting xmlns:xm="http://schemas.microsoft.com/office/excel/2006/main">
          <x14:cfRule type="containsText" priority="1" operator="containsText" id="{293BB46D-7725-423F-A189-90A562F62717}">
            <xm:f>NOT(ISERROR(SEARCH("Error",F52)))</xm:f>
            <xm:f>"Error"</xm:f>
            <x14:dxf>
              <fill>
                <patternFill>
                  <bgColor rgb="FFFFFF00"/>
                </patternFill>
              </fill>
            </x14:dxf>
          </x14:cfRule>
          <xm:sqref>F52:H52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4"/>
  <sheetViews>
    <sheetView showGridLines="0" view="pageBreakPreview" zoomScaleNormal="100" zoomScaleSheetLayoutView="100" workbookViewId="0">
      <selection activeCell="F9" sqref="F9"/>
    </sheetView>
  </sheetViews>
  <sheetFormatPr defaultColWidth="9.1796875" defaultRowHeight="14.5" x14ac:dyDescent="0.35"/>
  <cols>
    <col min="1" max="3" width="9.1796875" style="1"/>
    <col min="4" max="4" width="9.81640625" style="1" customWidth="1"/>
    <col min="5" max="15" width="9.1796875" style="1"/>
    <col min="16" max="16" width="12.81640625" style="1" bestFit="1" customWidth="1"/>
    <col min="17" max="16384" width="9.1796875" style="1"/>
  </cols>
  <sheetData>
    <row r="2" spans="1:16" x14ac:dyDescent="0.3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6" ht="23" x14ac:dyDescent="0.5">
      <c r="A3" s="137" t="s">
        <v>118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20"/>
    </row>
    <row r="4" spans="1:16" x14ac:dyDescent="0.3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6" x14ac:dyDescent="0.3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6" x14ac:dyDescent="0.35">
      <c r="A6" s="21" t="s">
        <v>74</v>
      </c>
      <c r="B6" s="21"/>
      <c r="C6" s="21"/>
      <c r="D6" s="25"/>
      <c r="E6" s="21" t="s">
        <v>3</v>
      </c>
      <c r="F6" s="59">
        <v>40</v>
      </c>
      <c r="G6" s="21"/>
      <c r="H6" s="21"/>
      <c r="I6" s="21"/>
      <c r="J6" s="21"/>
      <c r="K6" s="21"/>
      <c r="L6" s="21"/>
      <c r="M6" s="21"/>
    </row>
    <row r="7" spans="1:16" x14ac:dyDescent="0.35">
      <c r="A7" s="21" t="s">
        <v>0</v>
      </c>
      <c r="B7" s="21"/>
      <c r="C7" s="21"/>
      <c r="D7" s="25"/>
      <c r="E7" s="21" t="s">
        <v>3</v>
      </c>
      <c r="F7" s="60">
        <v>500</v>
      </c>
      <c r="G7" s="21"/>
      <c r="H7" s="21"/>
      <c r="I7" s="21"/>
      <c r="J7" s="21"/>
      <c r="K7" s="21"/>
      <c r="L7" s="21"/>
      <c r="M7" s="21"/>
    </row>
    <row r="8" spans="1:16" ht="17" x14ac:dyDescent="0.35">
      <c r="A8" s="21" t="s">
        <v>77</v>
      </c>
      <c r="B8" s="21"/>
      <c r="C8" s="21"/>
      <c r="D8" s="25" t="s">
        <v>103</v>
      </c>
      <c r="E8" s="21" t="s">
        <v>3</v>
      </c>
      <c r="F8" s="118">
        <v>2.5</v>
      </c>
      <c r="G8" s="21" t="s">
        <v>84</v>
      </c>
      <c r="H8" s="29">
        <v>0.05</v>
      </c>
      <c r="I8" s="29">
        <v>0.17499999999999999</v>
      </c>
      <c r="J8" s="29">
        <v>0.22500000000000001</v>
      </c>
      <c r="K8" s="21"/>
      <c r="L8" s="21"/>
      <c r="M8" s="21"/>
    </row>
    <row r="9" spans="1:16" ht="17" x14ac:dyDescent="0.35">
      <c r="A9" s="21" t="s">
        <v>93</v>
      </c>
      <c r="B9" s="21"/>
      <c r="C9" s="21"/>
      <c r="D9" s="25" t="s">
        <v>104</v>
      </c>
      <c r="E9" s="21" t="s">
        <v>3</v>
      </c>
      <c r="F9" s="62">
        <v>2.5</v>
      </c>
      <c r="G9" s="21" t="s">
        <v>84</v>
      </c>
      <c r="H9" s="21"/>
      <c r="I9" s="21"/>
      <c r="J9" s="21"/>
      <c r="K9" s="21"/>
      <c r="L9" s="21"/>
      <c r="M9" s="21"/>
    </row>
    <row r="10" spans="1:16" x14ac:dyDescent="0.35">
      <c r="A10" s="21" t="s">
        <v>75</v>
      </c>
      <c r="B10" s="21"/>
      <c r="C10" s="21"/>
      <c r="D10" s="25" t="s">
        <v>105</v>
      </c>
      <c r="E10" s="21" t="s">
        <v>3</v>
      </c>
      <c r="F10" s="118">
        <f>J23</f>
        <v>2.39</v>
      </c>
      <c r="G10" s="21" t="s">
        <v>23</v>
      </c>
      <c r="H10" s="21"/>
      <c r="I10" s="119"/>
      <c r="J10" s="21"/>
      <c r="K10" s="21"/>
      <c r="L10" s="21"/>
      <c r="M10" s="21"/>
    </row>
    <row r="11" spans="1:16" x14ac:dyDescent="0.35">
      <c r="A11" s="21" t="s">
        <v>76</v>
      </c>
      <c r="B11" s="21"/>
      <c r="C11" s="21"/>
      <c r="D11" s="25" t="s">
        <v>96</v>
      </c>
      <c r="E11" s="21" t="s">
        <v>3</v>
      </c>
      <c r="F11" s="118">
        <f>M20</f>
        <v>0.25</v>
      </c>
      <c r="G11" s="21" t="s">
        <v>23</v>
      </c>
      <c r="H11" s="21"/>
      <c r="I11" s="120">
        <f>H8</f>
        <v>0.05</v>
      </c>
      <c r="J11" s="62">
        <v>0.75</v>
      </c>
      <c r="K11" s="21"/>
      <c r="L11" s="21"/>
      <c r="M11" s="21"/>
    </row>
    <row r="12" spans="1:16" x14ac:dyDescent="0.35">
      <c r="A12" s="21" t="s">
        <v>78</v>
      </c>
      <c r="B12" s="21"/>
      <c r="C12" s="21"/>
      <c r="D12" s="25" t="s">
        <v>10</v>
      </c>
      <c r="E12" s="21" t="s">
        <v>3</v>
      </c>
      <c r="F12" s="118">
        <f>J11+J14+J16</f>
        <v>1.1000000000000001</v>
      </c>
      <c r="G12" s="21" t="s">
        <v>23</v>
      </c>
      <c r="H12" s="21"/>
      <c r="I12" s="21"/>
      <c r="J12" s="63"/>
      <c r="K12" s="21"/>
      <c r="L12" s="21"/>
      <c r="M12" s="21"/>
    </row>
    <row r="13" spans="1:16" x14ac:dyDescent="0.35">
      <c r="A13" s="21" t="s">
        <v>79</v>
      </c>
      <c r="B13" s="21"/>
      <c r="C13" s="21"/>
      <c r="D13" s="25"/>
      <c r="E13" s="21" t="s">
        <v>3</v>
      </c>
      <c r="F13" s="118">
        <f>I18</f>
        <v>0.44999999999999996</v>
      </c>
      <c r="G13" s="21" t="s">
        <v>23</v>
      </c>
      <c r="H13" s="21"/>
      <c r="I13" s="21"/>
      <c r="J13" s="63"/>
      <c r="K13" s="21"/>
      <c r="L13" s="21"/>
      <c r="M13" s="21"/>
    </row>
    <row r="14" spans="1:16" ht="17" x14ac:dyDescent="0.35">
      <c r="A14" s="21" t="s">
        <v>80</v>
      </c>
      <c r="B14" s="21"/>
      <c r="C14" s="21"/>
      <c r="D14" s="25"/>
      <c r="E14" s="21" t="s">
        <v>3</v>
      </c>
      <c r="F14" s="118">
        <f>(0.5*H8*(J11+J14+J16))+(I8*(J11+J14+J16))+(0.5*I11*J11)+(I11*(J14+J16))+(0.5*J8*J14)+(J8*J16)</f>
        <v>0.30687500000000006</v>
      </c>
      <c r="G14" s="21" t="s">
        <v>86</v>
      </c>
      <c r="H14" s="21"/>
      <c r="I14" s="21"/>
      <c r="J14" s="62">
        <v>0.25</v>
      </c>
      <c r="K14" s="21"/>
      <c r="L14" s="21"/>
      <c r="M14" s="21"/>
    </row>
    <row r="15" spans="1:16" x14ac:dyDescent="0.35">
      <c r="A15" s="21" t="s">
        <v>85</v>
      </c>
      <c r="B15" s="21"/>
      <c r="C15" s="21"/>
      <c r="D15" s="25"/>
      <c r="E15" s="21" t="s">
        <v>3</v>
      </c>
      <c r="F15" s="118">
        <f>M18</f>
        <v>0.31</v>
      </c>
      <c r="G15" s="21" t="s">
        <v>23</v>
      </c>
      <c r="H15" s="121">
        <f>H8</f>
        <v>0.05</v>
      </c>
      <c r="I15" s="21"/>
      <c r="J15" s="63"/>
      <c r="K15" s="21"/>
      <c r="L15" s="21"/>
      <c r="M15" s="21"/>
    </row>
    <row r="16" spans="1:16" x14ac:dyDescent="0.35">
      <c r="A16" s="21" t="s">
        <v>82</v>
      </c>
      <c r="B16" s="21"/>
      <c r="C16" s="21"/>
      <c r="D16" s="25"/>
      <c r="E16" s="21" t="s">
        <v>3</v>
      </c>
      <c r="F16" s="118">
        <f>H24</f>
        <v>0.16</v>
      </c>
      <c r="G16" s="21" t="s">
        <v>23</v>
      </c>
      <c r="H16" s="21"/>
      <c r="I16" s="21"/>
      <c r="J16" s="62">
        <v>0.1</v>
      </c>
      <c r="K16" s="21"/>
      <c r="L16" s="21"/>
      <c r="M16" s="21"/>
      <c r="P16" s="1">
        <f>0.307</f>
        <v>0.307</v>
      </c>
    </row>
    <row r="17" spans="1:20" x14ac:dyDescent="0.35">
      <c r="A17" s="21" t="s">
        <v>83</v>
      </c>
      <c r="B17" s="21"/>
      <c r="C17" s="21"/>
      <c r="D17" s="25"/>
      <c r="E17" s="21" t="s">
        <v>3</v>
      </c>
      <c r="F17" s="118">
        <f>H19</f>
        <v>0.23</v>
      </c>
      <c r="G17" s="21" t="s">
        <v>23</v>
      </c>
      <c r="H17" s="21"/>
      <c r="I17" s="21"/>
      <c r="J17" s="21"/>
      <c r="K17" s="21"/>
      <c r="L17" s="21"/>
      <c r="M17" s="21"/>
    </row>
    <row r="18" spans="1:20" ht="16.5" x14ac:dyDescent="0.45">
      <c r="A18" s="21" t="s">
        <v>98</v>
      </c>
      <c r="B18" s="21"/>
      <c r="C18" s="21"/>
      <c r="D18" s="25" t="s">
        <v>106</v>
      </c>
      <c r="E18" s="21" t="s">
        <v>3</v>
      </c>
      <c r="F18" s="62">
        <f>15*(110/1000)*'Crash Barrier'!G24</f>
        <v>3.0681818181818179</v>
      </c>
      <c r="G18" s="21" t="s">
        <v>41</v>
      </c>
      <c r="H18" s="21"/>
      <c r="I18" s="122">
        <f>H8+I8+J8</f>
        <v>0.44999999999999996</v>
      </c>
      <c r="J18" s="21"/>
      <c r="K18" s="21"/>
      <c r="L18" s="21"/>
      <c r="M18" s="107">
        <v>0.31</v>
      </c>
    </row>
    <row r="19" spans="1:20" ht="16.5" x14ac:dyDescent="0.45">
      <c r="A19" s="21" t="s">
        <v>99</v>
      </c>
      <c r="B19" s="21"/>
      <c r="C19" s="21"/>
      <c r="D19" s="25" t="s">
        <v>107</v>
      </c>
      <c r="E19" s="21" t="s">
        <v>3</v>
      </c>
      <c r="F19" s="62">
        <f>'Crash Barrier'!F30</f>
        <v>4.1838842975206614</v>
      </c>
      <c r="G19" s="21" t="s">
        <v>111</v>
      </c>
      <c r="H19" s="109">
        <v>0.23</v>
      </c>
      <c r="I19" s="21"/>
      <c r="J19" s="108">
        <v>0.1</v>
      </c>
      <c r="K19" s="21"/>
      <c r="L19" s="21"/>
      <c r="M19" s="64"/>
      <c r="O19" s="1">
        <f>(M18+M20)*H24</f>
        <v>8.9600000000000013E-2</v>
      </c>
      <c r="P19" s="1">
        <f>H19*M20</f>
        <v>5.7500000000000002E-2</v>
      </c>
      <c r="Q19" s="1">
        <f>+J19*M18</f>
        <v>3.1E-2</v>
      </c>
      <c r="R19" s="1">
        <f>M18*M18*0.5</f>
        <v>4.8050000000000002E-2</v>
      </c>
      <c r="S19" s="1">
        <f>J22*M20</f>
        <v>0.5</v>
      </c>
      <c r="T19" s="1">
        <f>SUM(O19:S19)</f>
        <v>0.72615000000000007</v>
      </c>
    </row>
    <row r="20" spans="1:20" ht="16.5" x14ac:dyDescent="0.45">
      <c r="A20" s="21" t="s">
        <v>4</v>
      </c>
      <c r="B20" s="21"/>
      <c r="C20" s="21"/>
      <c r="D20" s="25" t="s">
        <v>112</v>
      </c>
      <c r="E20" s="21" t="s">
        <v>3</v>
      </c>
      <c r="F20" s="118">
        <f>F19*1.5</f>
        <v>6.2758264462809921</v>
      </c>
      <c r="G20" s="21" t="s">
        <v>111</v>
      </c>
      <c r="H20" s="21"/>
      <c r="I20" s="21"/>
      <c r="J20" s="21"/>
      <c r="K20" s="21"/>
      <c r="L20" s="21"/>
      <c r="M20" s="107">
        <v>0.25</v>
      </c>
    </row>
    <row r="21" spans="1:20" x14ac:dyDescent="0.35">
      <c r="A21" s="21" t="s">
        <v>102</v>
      </c>
      <c r="B21" s="21"/>
      <c r="C21" s="21"/>
      <c r="D21" s="25" t="s">
        <v>101</v>
      </c>
      <c r="E21" s="21" t="s">
        <v>3</v>
      </c>
      <c r="F21" s="123">
        <f>TAN(RADIANS(30))</f>
        <v>0.57735026918962573</v>
      </c>
      <c r="G21" s="21"/>
      <c r="H21" s="21"/>
      <c r="I21" s="21"/>
      <c r="J21" s="21"/>
      <c r="K21" s="21"/>
      <c r="L21" s="21"/>
      <c r="M21" s="21"/>
    </row>
    <row r="22" spans="1:20" x14ac:dyDescent="0.35">
      <c r="A22" s="21" t="s">
        <v>110</v>
      </c>
      <c r="B22" s="21"/>
      <c r="C22" s="21"/>
      <c r="D22" s="25" t="s">
        <v>33</v>
      </c>
      <c r="E22" s="21" t="s">
        <v>3</v>
      </c>
      <c r="F22" s="119">
        <v>40</v>
      </c>
      <c r="G22" s="21" t="s">
        <v>24</v>
      </c>
      <c r="H22" s="21"/>
      <c r="I22" s="21"/>
      <c r="J22" s="61">
        <f>J23-H24-H19</f>
        <v>2</v>
      </c>
      <c r="K22" s="21"/>
      <c r="L22" s="21"/>
      <c r="M22" s="21"/>
      <c r="S22" s="16">
        <f>(F14+T19)*25</f>
        <v>25.825625000000002</v>
      </c>
    </row>
    <row r="23" spans="1:20" x14ac:dyDescent="0.35">
      <c r="A23" s="21"/>
      <c r="B23" s="21"/>
      <c r="C23" s="21"/>
      <c r="D23" s="21"/>
      <c r="E23" s="21"/>
      <c r="F23" s="21"/>
      <c r="G23" s="21"/>
      <c r="H23" s="21"/>
      <c r="I23" s="21"/>
      <c r="J23" s="62">
        <v>2.39</v>
      </c>
      <c r="K23" s="21"/>
      <c r="L23" s="21"/>
      <c r="M23" s="21"/>
      <c r="S23" s="16">
        <f>(J23-H15-I18-J19)*M18*22</f>
        <v>12.207800000000001</v>
      </c>
    </row>
    <row r="24" spans="1:20" ht="15" thickBot="1" x14ac:dyDescent="0.4">
      <c r="A24" s="21"/>
      <c r="B24" s="21"/>
      <c r="C24" s="21"/>
      <c r="D24" s="21"/>
      <c r="E24" s="21"/>
      <c r="F24" s="21"/>
      <c r="G24" s="21"/>
      <c r="H24" s="110">
        <v>0.16</v>
      </c>
      <c r="I24" s="21"/>
      <c r="J24" s="21"/>
      <c r="K24" s="21"/>
      <c r="L24" s="21"/>
      <c r="M24" s="21"/>
    </row>
    <row r="25" spans="1:20" ht="31" x14ac:dyDescent="0.35">
      <c r="A25" s="65" t="s">
        <v>87</v>
      </c>
      <c r="B25" s="160" t="s">
        <v>88</v>
      </c>
      <c r="C25" s="161"/>
      <c r="D25" s="66" t="s">
        <v>94</v>
      </c>
      <c r="E25" s="66" t="s">
        <v>95</v>
      </c>
      <c r="F25" s="66" t="s">
        <v>108</v>
      </c>
      <c r="G25" s="21"/>
      <c r="H25" s="162" t="s">
        <v>97</v>
      </c>
      <c r="I25" s="163"/>
      <c r="J25" s="21"/>
      <c r="K25" s="162" t="s">
        <v>100</v>
      </c>
      <c r="L25" s="163"/>
      <c r="M25" s="21"/>
    </row>
    <row r="26" spans="1:20" x14ac:dyDescent="0.35">
      <c r="A26" s="67">
        <v>1</v>
      </c>
      <c r="B26" s="68" t="s">
        <v>90</v>
      </c>
      <c r="C26" s="68"/>
      <c r="D26" s="124">
        <f>F14*F8</f>
        <v>0.76718750000000013</v>
      </c>
      <c r="E26" s="125">
        <f>H15+(I18/2)</f>
        <v>0.27499999999999997</v>
      </c>
      <c r="F26" s="124">
        <f>D26*E26</f>
        <v>0.21097656250000002</v>
      </c>
      <c r="G26" s="21"/>
      <c r="H26" s="128" t="str">
        <f>CONCATENATE("=",ROUND(F31,3),"/",ROUND(F19,3))</f>
        <v>=11.031/4.184</v>
      </c>
      <c r="I26" s="129"/>
      <c r="J26" s="21"/>
      <c r="K26" s="132" t="str">
        <f>CONCATENATE("=",ROUND(D31,3),"*",ROUND(F21,2),"/",ROUND(F18,3))</f>
        <v>=11.974*0.58/3.068</v>
      </c>
      <c r="L26" s="129"/>
      <c r="M26" s="21"/>
    </row>
    <row r="27" spans="1:20" x14ac:dyDescent="0.35">
      <c r="A27" s="67">
        <v>2</v>
      </c>
      <c r="B27" s="68" t="s">
        <v>89</v>
      </c>
      <c r="C27" s="68"/>
      <c r="D27" s="111">
        <v>7.85</v>
      </c>
      <c r="E27" s="126">
        <f>(H15+I18+J19)+M20</f>
        <v>0.85</v>
      </c>
      <c r="F27" s="124">
        <f t="shared" ref="F27:F30" si="0">D27*E27</f>
        <v>6.6724999999999994</v>
      </c>
      <c r="G27" s="21"/>
      <c r="H27" s="130">
        <f>F31/F19</f>
        <v>2.6364992499999995</v>
      </c>
      <c r="I27" s="131">
        <v>2</v>
      </c>
      <c r="J27" s="21"/>
      <c r="K27" s="130">
        <f>(D31*F21)/F18</f>
        <v>2.2532708697544543</v>
      </c>
      <c r="L27" s="131">
        <v>1.5</v>
      </c>
      <c r="M27" s="21"/>
    </row>
    <row r="28" spans="1:20" ht="15" thickBot="1" x14ac:dyDescent="0.4">
      <c r="A28" s="67">
        <v>3</v>
      </c>
      <c r="B28" s="68" t="s">
        <v>81</v>
      </c>
      <c r="C28" s="68"/>
      <c r="D28" s="124">
        <f>((J23-H24-I18-J19)*M18*F9)+(0.5*M18*M18*F9)</f>
        <v>1.4221249999999999</v>
      </c>
      <c r="E28" s="124">
        <f>(H24+I18+J19)+((J23-H24-I18-J19)/2)</f>
        <v>1.5499999999999998</v>
      </c>
      <c r="F28" s="124">
        <f t="shared" si="0"/>
        <v>2.2042937499999997</v>
      </c>
      <c r="G28" s="21"/>
      <c r="H28" s="164" t="str">
        <f>IF(H27&gt;I27,"Ok","Not Ok")</f>
        <v>Ok</v>
      </c>
      <c r="I28" s="165"/>
      <c r="J28" s="21"/>
      <c r="K28" s="164" t="str">
        <f>IF(K27&gt;L27,"Ok","Not Ok")</f>
        <v>Ok</v>
      </c>
      <c r="L28" s="165"/>
      <c r="M28" s="21"/>
    </row>
    <row r="29" spans="1:20" x14ac:dyDescent="0.35">
      <c r="A29" s="67">
        <v>4</v>
      </c>
      <c r="B29" s="68" t="s">
        <v>91</v>
      </c>
      <c r="C29" s="68"/>
      <c r="D29" s="124">
        <f>(J22*M20*F8)</f>
        <v>1.25</v>
      </c>
      <c r="E29" s="124">
        <f>H24+H19+(J22/2)</f>
        <v>1.3900000000000001</v>
      </c>
      <c r="F29" s="124">
        <f t="shared" si="0"/>
        <v>1.7375000000000003</v>
      </c>
      <c r="G29" s="21"/>
      <c r="H29" s="21"/>
      <c r="I29" s="21"/>
      <c r="J29" s="21"/>
      <c r="K29" s="21"/>
      <c r="L29" s="21"/>
      <c r="M29" s="21"/>
    </row>
    <row r="30" spans="1:20" x14ac:dyDescent="0.35">
      <c r="A30" s="67">
        <v>5</v>
      </c>
      <c r="B30" s="68" t="s">
        <v>92</v>
      </c>
      <c r="C30" s="68"/>
      <c r="D30" s="124">
        <f>((H15+I18+J19)*M18*F8)+(0.5*M18*M18*F8)+(H24*M20*F8)</f>
        <v>0.68512499999999998</v>
      </c>
      <c r="E30" s="124">
        <f>(H15+I18+J19)/2</f>
        <v>0.3</v>
      </c>
      <c r="F30" s="124">
        <f t="shared" si="0"/>
        <v>0.20553749999999998</v>
      </c>
      <c r="G30" s="21"/>
      <c r="H30" s="21"/>
      <c r="I30" s="21"/>
      <c r="J30" s="21"/>
      <c r="K30" s="21"/>
      <c r="L30" s="21"/>
      <c r="M30" s="21"/>
    </row>
    <row r="31" spans="1:20" x14ac:dyDescent="0.35">
      <c r="A31" s="67">
        <v>6</v>
      </c>
      <c r="B31" s="158" t="s">
        <v>109</v>
      </c>
      <c r="C31" s="159"/>
      <c r="D31" s="69">
        <f t="shared" ref="D31" si="1">SUM(D26:D30)</f>
        <v>11.974437499999999</v>
      </c>
      <c r="E31" s="69"/>
      <c r="F31" s="127">
        <f>SUM(F26:F30)</f>
        <v>11.030807812499999</v>
      </c>
      <c r="G31" s="21"/>
      <c r="H31" s="21"/>
      <c r="I31" s="21"/>
      <c r="J31" s="21"/>
      <c r="K31" s="21"/>
      <c r="L31" s="21"/>
      <c r="M31" s="21"/>
    </row>
    <row r="32" spans="1:20" x14ac:dyDescent="0.3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</row>
    <row r="33" spans="1:15" ht="15.5" x14ac:dyDescent="0.35">
      <c r="A33" s="70" t="s">
        <v>119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</row>
    <row r="34" spans="1:15" ht="15" thickBot="1" x14ac:dyDescent="0.4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</row>
    <row r="35" spans="1:15" ht="15.5" thickTop="1" thickBot="1" x14ac:dyDescent="0.4">
      <c r="A35" s="71" t="s">
        <v>87</v>
      </c>
      <c r="B35" s="155" t="s">
        <v>116</v>
      </c>
      <c r="C35" s="156"/>
      <c r="D35" s="156"/>
      <c r="E35" s="156"/>
      <c r="F35" s="156"/>
      <c r="G35" s="157"/>
      <c r="H35" s="71" t="s">
        <v>59</v>
      </c>
      <c r="I35" s="72" t="s">
        <v>117</v>
      </c>
      <c r="J35" s="73"/>
      <c r="K35" s="73"/>
      <c r="L35" s="73"/>
      <c r="M35" s="74"/>
      <c r="N35" s="17"/>
      <c r="O35" s="6"/>
    </row>
    <row r="36" spans="1:15" ht="17.5" thickTop="1" thickBot="1" x14ac:dyDescent="0.5">
      <c r="A36" s="75">
        <v>1</v>
      </c>
      <c r="B36" s="76" t="s">
        <v>15</v>
      </c>
      <c r="C36" s="77"/>
      <c r="D36" s="77"/>
      <c r="E36" s="78" t="s">
        <v>17</v>
      </c>
      <c r="F36" s="79" t="s">
        <v>3</v>
      </c>
      <c r="G36" s="133">
        <f>SQRT((F20*10^7)/(0.1336*F6*1000))</f>
        <v>108.36829431319917</v>
      </c>
      <c r="H36" s="151" t="str">
        <f>IF(G37&gt;G36,"Ok","Error")</f>
        <v>Ok</v>
      </c>
      <c r="I36" s="80" t="s">
        <v>24</v>
      </c>
      <c r="J36" s="81" t="s">
        <v>57</v>
      </c>
      <c r="K36" s="82"/>
      <c r="L36" s="82"/>
      <c r="M36" s="83"/>
      <c r="N36" s="18"/>
      <c r="O36" s="6"/>
    </row>
    <row r="37" spans="1:15" ht="17" thickTop="1" x14ac:dyDescent="0.45">
      <c r="A37" s="84">
        <v>2</v>
      </c>
      <c r="B37" s="85" t="s">
        <v>14</v>
      </c>
      <c r="C37" s="86"/>
      <c r="D37" s="86"/>
      <c r="E37" s="87" t="s">
        <v>16</v>
      </c>
      <c r="F37" s="88" t="s">
        <v>3</v>
      </c>
      <c r="G37" s="134">
        <f>(F11*1000)-F22-K40/2</f>
        <v>204</v>
      </c>
      <c r="H37" s="152"/>
      <c r="I37" s="89" t="s">
        <v>24</v>
      </c>
      <c r="J37" s="82"/>
      <c r="K37" s="82"/>
      <c r="L37" s="82"/>
      <c r="M37" s="83"/>
      <c r="N37" s="18"/>
      <c r="O37" s="6"/>
    </row>
    <row r="38" spans="1:15" ht="16.5" x14ac:dyDescent="0.45">
      <c r="A38" s="90">
        <v>3</v>
      </c>
      <c r="B38" s="85" t="s">
        <v>22</v>
      </c>
      <c r="C38" s="86"/>
      <c r="D38" s="86"/>
      <c r="E38" s="87" t="s">
        <v>34</v>
      </c>
      <c r="F38" s="91" t="s">
        <v>3</v>
      </c>
      <c r="G38" s="50">
        <f>MAX(0.0013*G37*1000,0.26*(0.259*(F6^(2/3)))*G37*1000/F7)</f>
        <v>321.34627452972722</v>
      </c>
      <c r="H38" s="92"/>
      <c r="I38" s="93" t="s">
        <v>25</v>
      </c>
      <c r="J38" s="81" t="s">
        <v>73</v>
      </c>
      <c r="K38" s="82"/>
      <c r="L38" s="82"/>
      <c r="M38" s="83"/>
      <c r="N38" s="18"/>
      <c r="O38" s="6"/>
    </row>
    <row r="39" spans="1:15" ht="16.5" x14ac:dyDescent="0.45">
      <c r="A39" s="90">
        <v>4</v>
      </c>
      <c r="B39" s="85" t="s">
        <v>5</v>
      </c>
      <c r="C39" s="86"/>
      <c r="D39" s="86"/>
      <c r="E39" s="87" t="s">
        <v>13</v>
      </c>
      <c r="F39" s="91" t="s">
        <v>3</v>
      </c>
      <c r="G39" s="50">
        <f>(0.5*F6/F7)*((1-SQRT(1-((4.6*F20*10^7)/(F6*1000*G37*G37))))*1000*G37)</f>
        <v>741.23464861955767</v>
      </c>
      <c r="H39" s="39"/>
      <c r="I39" s="93" t="s">
        <v>25</v>
      </c>
      <c r="J39" s="81" t="s">
        <v>113</v>
      </c>
      <c r="K39" s="82"/>
      <c r="L39" s="94"/>
      <c r="M39" s="95"/>
      <c r="N39" s="18"/>
      <c r="O39" s="6"/>
    </row>
    <row r="40" spans="1:15" ht="16.5" x14ac:dyDescent="0.45">
      <c r="A40" s="90">
        <v>5</v>
      </c>
      <c r="B40" s="85" t="s">
        <v>6</v>
      </c>
      <c r="C40" s="86"/>
      <c r="D40" s="86"/>
      <c r="E40" s="87" t="s">
        <v>12</v>
      </c>
      <c r="F40" s="91" t="s">
        <v>3</v>
      </c>
      <c r="G40" s="50">
        <f>((PI()/4*K40*K40)+(PI()/4*L40*L40))*(1000/M40)</f>
        <v>1130.9733552923256</v>
      </c>
      <c r="H40" s="136" t="str">
        <f>IF(G40&gt;MAX(G38:G39),"Ok","Error")</f>
        <v>Ok</v>
      </c>
      <c r="I40" s="93" t="s">
        <v>25</v>
      </c>
      <c r="J40" s="96" t="s">
        <v>120</v>
      </c>
      <c r="K40" s="112">
        <v>12</v>
      </c>
      <c r="L40" s="113">
        <v>0</v>
      </c>
      <c r="M40" s="114">
        <v>100</v>
      </c>
      <c r="N40" s="18"/>
      <c r="O40" s="6"/>
    </row>
    <row r="41" spans="1:15" x14ac:dyDescent="0.35">
      <c r="A41" s="90">
        <v>6</v>
      </c>
      <c r="B41" s="85" t="s">
        <v>114</v>
      </c>
      <c r="C41" s="86"/>
      <c r="D41" s="86"/>
      <c r="E41" s="97"/>
      <c r="F41" s="98" t="s">
        <v>7</v>
      </c>
      <c r="G41" s="93"/>
      <c r="H41" s="99"/>
      <c r="I41" s="99"/>
      <c r="J41" s="96"/>
      <c r="K41" s="82"/>
      <c r="L41" s="82"/>
      <c r="M41" s="83"/>
      <c r="N41" s="18"/>
      <c r="O41" s="6"/>
    </row>
    <row r="42" spans="1:15" x14ac:dyDescent="0.35">
      <c r="A42" s="90">
        <v>7</v>
      </c>
      <c r="B42" s="85" t="s">
        <v>37</v>
      </c>
      <c r="C42" s="86"/>
      <c r="D42" s="86"/>
      <c r="E42" s="97"/>
      <c r="F42" s="91" t="s">
        <v>3</v>
      </c>
      <c r="G42" s="50">
        <f>50%*G40</f>
        <v>565.48667764616278</v>
      </c>
      <c r="H42" s="153" t="str">
        <f>IF(G43&gt;=G42,"Ok","Error")</f>
        <v>Ok</v>
      </c>
      <c r="I42" s="93" t="s">
        <v>25</v>
      </c>
      <c r="J42" s="96"/>
      <c r="K42" s="82"/>
      <c r="L42" s="82"/>
      <c r="M42" s="83"/>
      <c r="N42" s="18"/>
      <c r="O42" s="6"/>
    </row>
    <row r="43" spans="1:15" ht="15" thickBot="1" x14ac:dyDescent="0.4">
      <c r="A43" s="100">
        <v>8</v>
      </c>
      <c r="B43" s="101" t="s">
        <v>115</v>
      </c>
      <c r="C43" s="102"/>
      <c r="D43" s="102"/>
      <c r="E43" s="103"/>
      <c r="F43" s="104" t="s">
        <v>3</v>
      </c>
      <c r="G43" s="135">
        <f>((PI()/4*K43*K43)+(PI()/4*L43*L43))*(1000/M43)</f>
        <v>565.48667764616278</v>
      </c>
      <c r="H43" s="154"/>
      <c r="I43" s="105" t="s">
        <v>25</v>
      </c>
      <c r="J43" s="106" t="s">
        <v>120</v>
      </c>
      <c r="K43" s="115">
        <v>12</v>
      </c>
      <c r="L43" s="116">
        <v>0</v>
      </c>
      <c r="M43" s="117">
        <v>200</v>
      </c>
      <c r="N43" s="19"/>
      <c r="O43" s="6"/>
    </row>
    <row r="44" spans="1:15" ht="15" thickTop="1" x14ac:dyDescent="0.35"/>
  </sheetData>
  <sheetProtection algorithmName="SHA-512" hashValue="wHPB9WXGt6FZhiEBu6OoWaPFbwQQe4twcV2LxXUbM9cu8aQPzbkmzXb4+RufR3JVVPkHFSB0jTJklZ0CTrt7gg==" saltValue="jVnDNbBt8u6wUa2sZZZHng==" spinCount="100000" sheet="1" objects="1" scenarios="1" formatCells="0" formatColumns="0" formatRows="0" insertColumns="0" insertRows="0" insertHyperlinks="0" sort="0" autoFilter="0"/>
  <mergeCells count="10">
    <mergeCell ref="A3:M3"/>
    <mergeCell ref="H36:H37"/>
    <mergeCell ref="H42:H43"/>
    <mergeCell ref="B35:G35"/>
    <mergeCell ref="B31:C31"/>
    <mergeCell ref="B25:C25"/>
    <mergeCell ref="H25:I25"/>
    <mergeCell ref="K25:L25"/>
    <mergeCell ref="H28:I28"/>
    <mergeCell ref="K28:L28"/>
  </mergeCells>
  <printOptions horizontalCentered="1"/>
  <pageMargins left="0.31496062992125984" right="7.874015748031496E-2" top="0.74803149606299213" bottom="0.74803149606299213" header="7.874015748031496E-2" footer="7.874015748031496E-2"/>
  <pageSetup paperSize="9" scale="82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F81FDD63-72BC-4205-9851-54ABD7A196A5}">
            <xm:f>NOT(ISERROR(SEARCH("Not Ok",H28)))</xm:f>
            <xm:f>"Not Ok"</xm:f>
            <x14:dxf>
              <fill>
                <patternFill>
                  <bgColor rgb="FFFFFF00"/>
                </patternFill>
              </fill>
            </x14:dxf>
          </x14:cfRule>
          <xm:sqref>H28</xm:sqref>
        </x14:conditionalFormatting>
        <x14:conditionalFormatting xmlns:xm="http://schemas.microsoft.com/office/excel/2006/main">
          <x14:cfRule type="containsText" priority="5" operator="containsText" id="{70D75492-10BC-4BB4-B643-8B1743CF22A3}">
            <xm:f>NOT(ISERROR(SEARCH("Not Ok",K28)))</xm:f>
            <xm:f>"Not Ok"</xm:f>
            <x14:dxf>
              <fill>
                <patternFill>
                  <bgColor rgb="FFFFFF00"/>
                </patternFill>
              </fill>
            </x14:dxf>
          </x14:cfRule>
          <xm:sqref>K28</xm:sqref>
        </x14:conditionalFormatting>
        <x14:conditionalFormatting xmlns:xm="http://schemas.microsoft.com/office/excel/2006/main">
          <x14:cfRule type="containsText" priority="4" operator="containsText" id="{F8319035-E6AE-4CFF-895C-1020B638953C}">
            <xm:f>NOT(ISERROR(SEARCH("Error",H36)))</xm:f>
            <xm:f>"Error"</xm:f>
            <x14:dxf>
              <fill>
                <patternFill>
                  <bgColor rgb="FFFFFF00"/>
                </patternFill>
              </fill>
            </x14:dxf>
          </x14:cfRule>
          <xm:sqref>H36 H40 H42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Crash Barrier</vt:lpstr>
      <vt:lpstr>Friction Slab</vt:lpstr>
      <vt:lpstr>'Crash Barrier'!Print_Area</vt:lpstr>
      <vt:lpstr>'Friction Slab'!Print_Area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user52</dc:creator>
  <cp:lastModifiedBy>Dinesh Choudhari</cp:lastModifiedBy>
  <cp:lastPrinted>2019-11-14T07:25:21Z</cp:lastPrinted>
  <dcterms:created xsi:type="dcterms:W3CDTF">2019-11-12T06:15:03Z</dcterms:created>
  <dcterms:modified xsi:type="dcterms:W3CDTF">2024-06-13T09:30:26Z</dcterms:modified>
</cp:coreProperties>
</file>